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20" windowWidth="8460" windowHeight="6285" firstSheet="1" activeTab="6"/>
  </bookViews>
  <sheets>
    <sheet name="dochody" sheetId="1" r:id="rId1"/>
    <sheet name="porozumienia" sheetId="2" r:id="rId2"/>
    <sheet name="doch zlec" sheetId="3" r:id="rId3"/>
    <sheet name="doch.szczeg.MC" sheetId="4" r:id="rId4"/>
    <sheet name="doch.majątkowe" sheetId="5" r:id="rId5"/>
    <sheet name="Zał. Nr 1  NIE " sheetId="6" r:id="rId6"/>
    <sheet name="Arkusz1KK" sheetId="7" r:id="rId7"/>
  </sheets>
  <definedNames/>
  <calcPr fullCalcOnLoad="1"/>
</workbook>
</file>

<file path=xl/sharedStrings.xml><?xml version="1.0" encoding="utf-8"?>
<sst xmlns="http://schemas.openxmlformats.org/spreadsheetml/2006/main" count="1737" uniqueCount="488">
  <si>
    <t>§</t>
  </si>
  <si>
    <t>Wyszczególnienie</t>
  </si>
  <si>
    <t>kwota</t>
  </si>
  <si>
    <t>Budżet z Uchwały Rady</t>
  </si>
  <si>
    <t>Plan po zmianach</t>
  </si>
  <si>
    <t>ROLNICTWO I   ŁOWIECTWO</t>
  </si>
  <si>
    <t>Infrastruktura wodoc. I sanitacyjna wsi</t>
  </si>
  <si>
    <t>Wpływy z różnych dochodów</t>
  </si>
  <si>
    <t>Pozostała działalność</t>
  </si>
  <si>
    <t>TRANSPORT I ŁĄCZNOŚĆ</t>
  </si>
  <si>
    <t>Drogi publiczne powiatowe</t>
  </si>
  <si>
    <t>Drogi publiczne gminne</t>
  </si>
  <si>
    <t>GOSPODARKA MIESZKANIOWA</t>
  </si>
  <si>
    <t>Gospodarka gruntami i nieruchomościami</t>
  </si>
  <si>
    <t>Wpływy z opłat za zarząd, użytkowanie  .i  użytkowanie wieczyste  nieruchomości</t>
  </si>
  <si>
    <t>Dochody z najmu i dzierż. składników majątkowych jst</t>
  </si>
  <si>
    <t>Pozostałe odsetki</t>
  </si>
  <si>
    <t>Otrzymane spadki, zapisy i darowizny</t>
  </si>
  <si>
    <t>DZIAŁALNOŚĆ USŁUGOWA</t>
  </si>
  <si>
    <t>Wpływy z innych lokalnych opłat pobieranych przez jst.</t>
  </si>
  <si>
    <t>Wpływy z różnych opłat</t>
  </si>
  <si>
    <t>ADMINISTRACJA PUBLICZNA</t>
  </si>
  <si>
    <t>Urzędy wojewódzkie</t>
  </si>
  <si>
    <t>Dotacje celowe otrzymane z budżetu państwa na real. zadań bież. z zakresu adm. rządowej oraz innych zadań zleconych</t>
  </si>
  <si>
    <t>Urzędy gmin (miast i miast  na prawach powiatu)</t>
  </si>
  <si>
    <t>Wpływy z usług</t>
  </si>
  <si>
    <t>Wpływy ze sprzedaży wyrobów i składników majątkowych</t>
  </si>
  <si>
    <t>URZĘDY NACZELNYCH ORG. WŁADZY PAŃSTWOWEJ</t>
  </si>
  <si>
    <t>Urzędy nacz. org. władzy państw., kontroli i ochrony prawa</t>
  </si>
  <si>
    <t>BEZP. PUPLICZNE I OCHRONA P.POŻAROWA</t>
  </si>
  <si>
    <t>Podatek od dział. gosp. osób fizycznych</t>
  </si>
  <si>
    <t>Wpływy z podatku rolnego leśnego, od czynności cywil.-praw., podatków i opłat lokalnych</t>
  </si>
  <si>
    <t>Podatek od nieruchomości</t>
  </si>
  <si>
    <t>Podatek rolny</t>
  </si>
  <si>
    <t>Podatek leśny</t>
  </si>
  <si>
    <t>Podatek od śr. transport.</t>
  </si>
  <si>
    <t>Wpływy z opłaty miejscowej</t>
  </si>
  <si>
    <t>Podatek od czynności cywilno-prawnych</t>
  </si>
  <si>
    <t xml:space="preserve">Wpływy z różnych opłat </t>
  </si>
  <si>
    <t>Odsetki od nieterminowych wpłat z tyt. Podatków i opłat</t>
  </si>
  <si>
    <t>Wpływy z podatku rolnego, leśnego, podatku od spadków i darowizn, od czynności cywilno-prawnych</t>
  </si>
  <si>
    <t>Podatek od spadków i darowizn</t>
  </si>
  <si>
    <t>Podatek od posiadania psów</t>
  </si>
  <si>
    <t>Wpływy z opłaty targowej</t>
  </si>
  <si>
    <t xml:space="preserve">Odsetki od nieterminowych wpłat z tyt. Podatków i opłat </t>
  </si>
  <si>
    <t>Wpływy z innych opłat stanowiących dochody jst. Na podst. ustaw</t>
  </si>
  <si>
    <t>Wpływy z opłaty skarbowej</t>
  </si>
  <si>
    <t>Udziały gmin w podatkach stanowiących dochód budż. państwa</t>
  </si>
  <si>
    <t>Podatek doch. od osób fizycznych</t>
  </si>
  <si>
    <t>Podatek doch. od osób prawnych</t>
  </si>
  <si>
    <t>RÓŻNE ROZLICZENIA</t>
  </si>
  <si>
    <t>Część oświatowa subwencji ogólnej dla jst.</t>
  </si>
  <si>
    <t>Subwencje ogólne z budżetu państwa</t>
  </si>
  <si>
    <t>Część wyrównawcza subwencji ogólnej dla gmin</t>
  </si>
  <si>
    <t>Różne rozliczenia finansowe</t>
  </si>
  <si>
    <t>OŚWIATA I WYCHOWANIE</t>
  </si>
  <si>
    <t>Szkoły podstawowe</t>
  </si>
  <si>
    <t>Doch. z najmu i dzierżawy skł.  majątku. Skarbu Państwa, jst. lub innych jedn. zaliczanych do sektora finansów publicznych</t>
  </si>
  <si>
    <t>Dotacje celowe otrzymane z budżetu państwa  na realizacje własnych zadań bieżących gmin</t>
  </si>
  <si>
    <t>Przedszkola</t>
  </si>
  <si>
    <t>Gimnazjum</t>
  </si>
  <si>
    <t>Zespoły obsługi ekonomiczno - admin. szkół</t>
  </si>
  <si>
    <t>Szkoły zawodowe</t>
  </si>
  <si>
    <t>OCHRONA ZDROWIA</t>
  </si>
  <si>
    <t>Wpływy z opłat za zezwolenia na sprzedaż alkoholu</t>
  </si>
  <si>
    <t>POMOC SPOŁECZNA</t>
  </si>
  <si>
    <t>Świadczenia rodzinne oraz składki na ubezp. emerytalne i rentowe</t>
  </si>
  <si>
    <t>Wpływy z różnych dochopdów</t>
  </si>
  <si>
    <t>Dotacje celowe otrzymane z budżetu państwa na  real. zadań  bież. z zakresu adm. rządowej</t>
  </si>
  <si>
    <t>Składki  na ubezp. zdrowotne opłacane za osoby pobierające niektóre świadczenia z pomocy społecznej</t>
  </si>
  <si>
    <t>Zasiłki i pomoc w naturze oraz skł. na ubezp. Społeczne</t>
  </si>
  <si>
    <t>Dotacje celowe otrzymane  z budżetu państwa na realizację  własnych zadań bieżących gmin</t>
  </si>
  <si>
    <t>Ośrodki pomocy społecznej</t>
  </si>
  <si>
    <t>Dotacje celowe otrzymane z budż państwa  na realizacje własnych zadań bieżących gmin</t>
  </si>
  <si>
    <t>Usługi opiekuńcze i specjalist. usługi opiek.</t>
  </si>
  <si>
    <t>EDUKACYJNA OPIEKA WYCHOWAWCZA</t>
  </si>
  <si>
    <t>Pomoc materialna dla uczniów</t>
  </si>
  <si>
    <t>GOSPODARKA KOMUNALNA I OCHRONA SRODOWISKA</t>
  </si>
  <si>
    <t>Gospodarka ściekowa i ochrona wód</t>
  </si>
  <si>
    <t>KULTURA I OCHRONA DZIEDZICTWA NARODOWEGO</t>
  </si>
  <si>
    <t xml:space="preserve">Domy i ośrodki kultury,świetlice i kluby </t>
  </si>
  <si>
    <t>Wpływy z podatku doch od osób fizycznych</t>
  </si>
  <si>
    <r>
      <t xml:space="preserve">Dochody od osób  prawnych, od osób fizycznych i od innych jednostek nieposiadających osobowowości prawnej oraz wydatki zwiazane z ich poborem </t>
    </r>
    <r>
      <rPr>
        <sz val="8"/>
        <rFont val="Times New Roman"/>
        <family val="1"/>
      </rPr>
      <t xml:space="preserve"> </t>
    </r>
  </si>
  <si>
    <t>% 09:05</t>
  </si>
  <si>
    <t>Rozdział</t>
  </si>
  <si>
    <t>Dział</t>
  </si>
  <si>
    <t>Dotacje celowe otrzymane z powiatu na zadania bieżące</t>
  </si>
  <si>
    <t>010</t>
  </si>
  <si>
    <t>01010</t>
  </si>
  <si>
    <t>0490</t>
  </si>
  <si>
    <t>0970</t>
  </si>
  <si>
    <t>0750</t>
  </si>
  <si>
    <t>0470</t>
  </si>
  <si>
    <t>0920</t>
  </si>
  <si>
    <t>0960</t>
  </si>
  <si>
    <t>0690</t>
  </si>
  <si>
    <t>0830</t>
  </si>
  <si>
    <t>0840</t>
  </si>
  <si>
    <t>0350</t>
  </si>
  <si>
    <t>0910</t>
  </si>
  <si>
    <t>0310</t>
  </si>
  <si>
    <t>0320</t>
  </si>
  <si>
    <t>0330</t>
  </si>
  <si>
    <t>0340</t>
  </si>
  <si>
    <t>0440</t>
  </si>
  <si>
    <t>0500</t>
  </si>
  <si>
    <t>0360</t>
  </si>
  <si>
    <t>0370</t>
  </si>
  <si>
    <t>0430</t>
  </si>
  <si>
    <t>0410</t>
  </si>
  <si>
    <t>0010</t>
  </si>
  <si>
    <t>0020</t>
  </si>
  <si>
    <t>2030</t>
  </si>
  <si>
    <t>0480</t>
  </si>
  <si>
    <t>75831</t>
  </si>
  <si>
    <t>2920</t>
  </si>
  <si>
    <t>01095</t>
  </si>
  <si>
    <t>2010</t>
  </si>
  <si>
    <t>71035</t>
  </si>
  <si>
    <t>2020</t>
  </si>
  <si>
    <t>0460</t>
  </si>
  <si>
    <t>85195</t>
  </si>
  <si>
    <t>2320</t>
  </si>
  <si>
    <t>Cmantarze</t>
  </si>
  <si>
    <t>Dotacje celowe otrzymane z budżetu państwa na zadania bieżące realizowane przez gminę na podstawie porozumień z organami administracj rządowej</t>
  </si>
  <si>
    <t>Dochody jst związane z realizacją zadań z akresu administracji rządowej oraz innych zadań zleconych ustawami</t>
  </si>
  <si>
    <t>Wpływy z opłaty eksploatacyjnej</t>
  </si>
  <si>
    <t>Część równoważąca subwencji ogólnej dla gmin</t>
  </si>
  <si>
    <t xml:space="preserve">OPIEKA SPOŁECZNA </t>
  </si>
  <si>
    <t xml:space="preserve">Razem </t>
  </si>
  <si>
    <t>ROLNICTWO I ŁOWIECTWO</t>
  </si>
  <si>
    <t>% 9:8</t>
  </si>
  <si>
    <t>% 9:5</t>
  </si>
  <si>
    <t>Transport i łączność</t>
  </si>
  <si>
    <t>Dotacje celowe otrzrymane z powiatu na zad.bieżace realiz.na podstawie porozumień miedzy j.s.t.</t>
  </si>
  <si>
    <t>Dotacje celowe otrzymane z powiatu na zadania bieżące realizowane na podstawie porozumień miedzy j.s.t.</t>
  </si>
  <si>
    <t>Kultura i ochrona dziedzictwa kulturowego</t>
  </si>
  <si>
    <t xml:space="preserve">RAZEM </t>
  </si>
  <si>
    <t>Dotacje celowe otrzymane z budżetu państwa na zadania bieżące realizowane przez gminę na podstawie porozumień z organami administracji rządowej</t>
  </si>
  <si>
    <t>DZIAŁALNOŚC USŁUGOWA</t>
  </si>
  <si>
    <t>Cmentarze</t>
  </si>
  <si>
    <t>Domy i ośrodki kultury, świetlice i kluby</t>
  </si>
  <si>
    <t>0770</t>
  </si>
  <si>
    <t>Wpłaty z tytułu odpłatnego nabycia prawa własności oraz prawa  użytkowania wieczystego nieruchomości</t>
  </si>
  <si>
    <t>85202</t>
  </si>
  <si>
    <t>Środki na dofinansowanie własnych inwestycji gmin (związków gmin), powiatów (związków powiatów),samorządów województw,pozyskane z innych źródeł</t>
  </si>
  <si>
    <t>Dotacje rozwojowe oraz środki na finansowanie Wspólnej Polityki Rolnej</t>
  </si>
  <si>
    <t>926</t>
  </si>
  <si>
    <t>KULTURA FIZYCZNA I SPORT</t>
  </si>
  <si>
    <t>podatek od spadków i darowizn</t>
  </si>
  <si>
    <t>opłata od posiadania psów</t>
  </si>
  <si>
    <t>I. Podatki i opłaty</t>
  </si>
  <si>
    <t>2009</t>
  </si>
  <si>
    <t>92601</t>
  </si>
  <si>
    <t xml:space="preserve">w zł </t>
  </si>
  <si>
    <t>Rozdz.</t>
  </si>
  <si>
    <t>Wpłaty z tytułu odpłatnego nabycia prawa własności oraz prawa użytkowania wieczystego nieruchomości</t>
  </si>
  <si>
    <t>801,852,750,854</t>
  </si>
  <si>
    <t>2360</t>
  </si>
  <si>
    <t>B. DOTACJE CELOWE</t>
  </si>
  <si>
    <t>na zadania własne bieżące</t>
  </si>
  <si>
    <t>2000</t>
  </si>
  <si>
    <t xml:space="preserve">Dotacje rozwojowe oraz środki na finansowanie wspólnej Polityki Rolnej </t>
  </si>
  <si>
    <t>2320, 2330</t>
  </si>
  <si>
    <t>C. Środki pozyskane z innych źródeł:</t>
  </si>
  <si>
    <t>z tego -subwencja oświatowa</t>
  </si>
  <si>
    <t>DOCHODY ZBIORCZE GMINY</t>
  </si>
  <si>
    <t xml:space="preserve">w tym:dochody majątkowe </t>
  </si>
  <si>
    <t xml:space="preserve">Razem dochody  gminy </t>
  </si>
  <si>
    <r>
      <t xml:space="preserve"> </t>
    </r>
    <r>
      <rPr>
        <b/>
        <sz val="12"/>
        <rFont val="Times New Roman"/>
        <family val="1"/>
      </rPr>
      <t>SUBWENCJE</t>
    </r>
  </si>
  <si>
    <t>Domy Pomocy Społecznej</t>
  </si>
  <si>
    <t>Obiekty sportowe</t>
  </si>
  <si>
    <t xml:space="preserve">                                                    Razem</t>
  </si>
  <si>
    <t xml:space="preserve">w tym :- dochody majątkowe </t>
  </si>
  <si>
    <t xml:space="preserve"> - dochody bieżące</t>
  </si>
  <si>
    <t>Infrastruktura wodociagowa i sanitacyjna wsi</t>
  </si>
  <si>
    <t>Środki na dofinansowanie własnych inwestycji gmin (związków gmin),powiatów (związków powiatów), samorządów województw,pozyskane z innych źródeł</t>
  </si>
  <si>
    <t>Paragraf</t>
  </si>
  <si>
    <t>700</t>
  </si>
  <si>
    <t>70005</t>
  </si>
  <si>
    <t>Pozostała działalnosć</t>
  </si>
  <si>
    <t>GOSPODARKA KOMUNALNA I OCHRONA ŚRODOWISKA</t>
  </si>
  <si>
    <t>DOCHODY MAJĄTKOWE</t>
  </si>
  <si>
    <t>DOCHODY BIEŻĄCE</t>
  </si>
  <si>
    <t>DOCHODY OGÓŁEM</t>
  </si>
  <si>
    <t>w tym Podstawowe dochody podatkowe</t>
  </si>
  <si>
    <t>wpływy z czynszu i dzierżawy</t>
  </si>
  <si>
    <t>0980</t>
  </si>
  <si>
    <t>92695</t>
  </si>
  <si>
    <t>Pozostała działalnść</t>
  </si>
  <si>
    <t>70001</t>
  </si>
  <si>
    <t>2007</t>
  </si>
  <si>
    <t>Zakłady gospodarki mieszkaniowej</t>
  </si>
  <si>
    <t>6297</t>
  </si>
  <si>
    <t>Wpływy z róznych dochodów</t>
  </si>
  <si>
    <t>Zasiłki stałe</t>
  </si>
  <si>
    <t>Wpływy i wydatki związane z gromadzeniem środków z opłat i kar za korzystanie ze środowiska</t>
  </si>
  <si>
    <t>Dochody z najmu i dzierżawy składników majątk. Skarbu Pań. Jednostek samorzadu terytorialnego lub innych jednostek zaliczanych do sektora finansów publicznych oraz innych umów o podobnym charakterze</t>
  </si>
  <si>
    <t>% 08:07</t>
  </si>
  <si>
    <t>w tym : z dotacji i środków z zewnątrz</t>
  </si>
  <si>
    <t>2680</t>
  </si>
  <si>
    <t>Rekompensaty utraconych dochodów w wydatkach i opłatach lokalnych</t>
  </si>
  <si>
    <t>Wpływy z tytułu zwrotów wypłaconych świadczeń z funduszu alimentacyjnego</t>
  </si>
  <si>
    <t>PDP</t>
  </si>
  <si>
    <t>III. Wpłaty od jednos tek organizacyjnych gminy  /poza mająt kowymi  i opłatami /</t>
  </si>
  <si>
    <t>%  08:05</t>
  </si>
  <si>
    <t>wpływy z opłaty skarbowej</t>
  </si>
  <si>
    <t>z opłaty targowej</t>
  </si>
  <si>
    <t>z opłaty miejscowej</t>
  </si>
  <si>
    <t>podatek od czynności cywilno prawnych</t>
  </si>
  <si>
    <t xml:space="preserve">Wpływy z opłat za zarząd , użytkowanie i użytkowa nie wieczyste nieruchomości </t>
  </si>
  <si>
    <t xml:space="preserve"> wpływy za zezwolenia na sprzedaż alkoholu</t>
  </si>
  <si>
    <t>wpływy z różnych opłat</t>
  </si>
  <si>
    <t>w dochodach własnych :</t>
  </si>
  <si>
    <t xml:space="preserve">     opłaty</t>
  </si>
  <si>
    <t>razem pod i opł</t>
  </si>
  <si>
    <t xml:space="preserve"> w tym dotacje bieżące</t>
  </si>
  <si>
    <t xml:space="preserve">razem  dotacje </t>
  </si>
  <si>
    <t>majątkowe</t>
  </si>
  <si>
    <t>bieżące=</t>
  </si>
  <si>
    <t>II. Dochody majątkowe własne ( bez dotacji )</t>
  </si>
  <si>
    <t xml:space="preserve">w  tym  podatki </t>
  </si>
  <si>
    <t>%   7:5</t>
  </si>
  <si>
    <t>%    7:3</t>
  </si>
  <si>
    <t>Roz     dział    lub   LP</t>
  </si>
  <si>
    <t>udziały w podatku docho dowym od osób fizyczny</t>
  </si>
  <si>
    <t>udziały w podatku dochodo wym od osób prawnych</t>
  </si>
  <si>
    <t>podatek d nieruchomości</t>
  </si>
  <si>
    <t>podatek rolny</t>
  </si>
  <si>
    <t>podatek od środków transportowych</t>
  </si>
  <si>
    <t>Podatek od dział.gosp.osób f.</t>
  </si>
  <si>
    <t>Wpływy z innych lokalnych opłat</t>
  </si>
  <si>
    <t>podatek leśny</t>
  </si>
  <si>
    <t>IV. Pozostałe dochody własne</t>
  </si>
  <si>
    <t>A. Ogółem       DOCHODY WŁASNE           I+II+III+IV/</t>
  </si>
  <si>
    <t xml:space="preserve">Wpływy z usług </t>
  </si>
  <si>
    <t>Wpływy ze sprzedaży wyrobów</t>
  </si>
  <si>
    <t xml:space="preserve">Pozostałe odsetki </t>
  </si>
  <si>
    <t>Odsetki od nietrminowych wpłat z tytułu podatków i opłat</t>
  </si>
  <si>
    <t>wpływy z różnych dochodów</t>
  </si>
  <si>
    <t>dochody gminy związane z realizacją  zadań  administracji rządowej</t>
  </si>
  <si>
    <t xml:space="preserve">Rekompensaty utraco nych dochodów w podatkach i opłatach lokalnych </t>
  </si>
  <si>
    <t>Dotacje z budżetu państwa na zadania  z l e c o n e</t>
  </si>
  <si>
    <t>Dotacje na porozumienia z organami administracji rządowej</t>
  </si>
  <si>
    <t>Środki na dofiansowanie własnych inwestycji gmin pozyskane z innych źródeł</t>
  </si>
  <si>
    <t xml:space="preserve">Dotacje na porozumienia i umowy z innymi  jednostkami samorządu  terytorial </t>
  </si>
  <si>
    <t>1do7+10+13do15</t>
  </si>
  <si>
    <t>756+ opłaty</t>
  </si>
  <si>
    <t>2460</t>
  </si>
  <si>
    <t>Środki otrzymane od pozostałych jednostek zaliczanych do sektora finansów publicznych na realizację zadań bieżących jednostek zaliczanych do sektora finansów publicznych</t>
  </si>
  <si>
    <t>Wpływy z tytułu zwrotów wypłaconych śm=wiadczeń z funduszu alimentacyjnego</t>
  </si>
  <si>
    <t>Wspieranie rodziny</t>
  </si>
  <si>
    <t>w tym :   środki UE</t>
  </si>
  <si>
    <t xml:space="preserve"> oraz środki budżetu państwa</t>
  </si>
  <si>
    <t>6290- 6298</t>
  </si>
  <si>
    <t>Oddziały przedszkone w szkołach podstawowych</t>
  </si>
  <si>
    <t>751</t>
  </si>
  <si>
    <t>Dodatki mieszkaniowe</t>
  </si>
  <si>
    <t>0760</t>
  </si>
  <si>
    <t>Wpływy z tytułu przekształcenia prawa użytkowania wieczystego przysługującego osobom fizycznym w prawo własności</t>
  </si>
  <si>
    <t>75412</t>
  </si>
  <si>
    <t>Ochotnicze straże pożarne</t>
  </si>
  <si>
    <t>6630</t>
  </si>
  <si>
    <t>Dotacje celowe otrzymane z samorządu województwa na inwestycje i zakupy inwestycyjne realizowane na podstawie porozumień (umów) między jednostkami samorządu terytorialnego</t>
  </si>
  <si>
    <t>2040</t>
  </si>
  <si>
    <t>6290</t>
  </si>
  <si>
    <t>92116</t>
  </si>
  <si>
    <t>Biblioteki</t>
  </si>
  <si>
    <t>Bezpieczeństwo publiczne i ochrona przeiwpożarowa</t>
  </si>
  <si>
    <t>Dotacje celowe otrzymane z samorzadu województwa na inwestycje i zakupy inwestycyjne realizowane na podstawie porozumień (umów) miedzy jednostkami samorządu terytorialnego</t>
  </si>
  <si>
    <t>Wpływy z tytułu przekształcenia prawa użytkowania wieczystego przysługującego osobom fizycznym w prawo własnosci</t>
  </si>
  <si>
    <t>na zadania własne bieżące z zakresu edukacyjnej opieki wychowawczej</t>
  </si>
  <si>
    <t>Realizacja zadań wymagających stosowania specjalnej organizacji nauki i metod pracy dla dzieci i młodzieży w szkołach podstawowych, gimnazjach, liceach ogólnokształcących, liceach profilowanych i szkołach zawodowych oraz szkołąch artystycznych</t>
  </si>
  <si>
    <t>Gospodarka odpadami</t>
  </si>
  <si>
    <t>Szkoły Podstawowe</t>
  </si>
  <si>
    <t>Wpływy z tytułu przekształcenia sposobu prawa użytkowania wieczystego przysługującego osobom fizycznym w prawo własności</t>
  </si>
  <si>
    <t xml:space="preserve">ze srodków UE </t>
  </si>
  <si>
    <t>razem środki z zewnątrz</t>
  </si>
  <si>
    <t xml:space="preserve">różnice </t>
  </si>
  <si>
    <t xml:space="preserve">własne  ze sprzedaży…. mienia </t>
  </si>
  <si>
    <t>Środki na dofinansowanie własnych inwestycji gmin (związków gmin),powiatów (związków powiatów), samorządów województw, pozyskane z innych źródeł</t>
  </si>
  <si>
    <t>Środki na dofinansowanie własnych inwestycji gmin (związków gmin),powiatów (związków powiatów), samo rządów województw,pozys kane z innych źródeł</t>
  </si>
  <si>
    <t>bez poz.17,18,19</t>
  </si>
  <si>
    <t>bieżące , w tym :</t>
  </si>
  <si>
    <t>majątkowe , w tym :</t>
  </si>
  <si>
    <t xml:space="preserve">    dochody bieżące </t>
  </si>
  <si>
    <t>suma kontrolna bieżących</t>
  </si>
  <si>
    <t xml:space="preserve"> dotacje  majątko we ,w tym : </t>
  </si>
  <si>
    <t>0550</t>
  </si>
  <si>
    <t>Wpływy z opłat z tytułu użytkowania wieczystego nieruchomości</t>
  </si>
  <si>
    <t>Wpływy z podatku od czynności cywilnoprawnych</t>
  </si>
  <si>
    <t>6330</t>
  </si>
  <si>
    <t>Dotacje celowe otrzymane z budżetu państwa na realizację inwestycji i zakupów inwestycyjnych własnych gmin (związków gmin)</t>
  </si>
  <si>
    <t>2060</t>
  </si>
  <si>
    <t>92195</t>
  </si>
  <si>
    <t>Wpływy z opłaty z tytułu użytkowania wieczystego nieruchomości</t>
  </si>
  <si>
    <t>Dotacje celowe otrzymane z budżetu państwa na realizację inwestycji i zakupów inwestycyjnych własnych gmin (związków gmin, związków powiatowo-gminnych)</t>
  </si>
  <si>
    <t>Dotacje z budżetu państwa na zadania zlecone pomoc państwa w wychowywaniu dzieci</t>
  </si>
  <si>
    <t>Świadczenia wychowawcze</t>
  </si>
  <si>
    <t>Dotacje celowe otrzymane z budżetu państwa na realizację zadań z zakresu administracji rządowej pomoc rodzinom w wychowywaniu dzieci</t>
  </si>
  <si>
    <t>Oświetlenie ulic, placów i dróg</t>
  </si>
  <si>
    <t>Strukt.%wyk Budżetu 2016</t>
  </si>
  <si>
    <t>Plan z Uchwały Rady 2017 rok</t>
  </si>
  <si>
    <t>Wpływy z rożnych dochodów</t>
  </si>
  <si>
    <t>Dotacje celowe otrzymane z budżetu państwa na realizację inwestycji i zakupów inwestycyjnych własnych gmin (związków gmin, związków powiatowo - gminnych)</t>
  </si>
  <si>
    <t>Dotacje celowe otrzymane z budżetu państwa na realizację własnych zadań bieżących gmin (związków gmin, związków powiatowo - gminnych)</t>
  </si>
  <si>
    <t>85230</t>
  </si>
  <si>
    <t>Pomoc w zakresie dożywiania</t>
  </si>
  <si>
    <t>85501</t>
  </si>
  <si>
    <t>85502</t>
  </si>
  <si>
    <t>85503</t>
  </si>
  <si>
    <t>85504</t>
  </si>
  <si>
    <t>RODZINA</t>
  </si>
  <si>
    <t>Świadczenie wychowawcze</t>
  </si>
  <si>
    <t>Świadczenia rodzinne, świadczenia z funduszu alimentacyjnego oraz skłądki na ubezpieczenia emerytalne i rentowe z ubezpieczenia społecznego</t>
  </si>
  <si>
    <t>Dochody jednostek samorzadu terytorialnego związane z realizacją zadań z zakresu administracji rządowej oraz innych zadań zleconych ustawami</t>
  </si>
  <si>
    <t>Karta Dużej Rodziny</t>
  </si>
  <si>
    <t>Dotacje celowe otrzymane z budżetu państwa na  real. zadań  bież. z zakresu adm. Rządowej oraz inncy zadań zleconych gminie (związkom gmin, związkom powiatowo - gminnym)</t>
  </si>
  <si>
    <t>Dotacje celowe otrzymane z budż państwa  na realizacje własnych zadań bieżących gmin (związków gmin, związków powiatowo-gminnych)</t>
  </si>
  <si>
    <t>Utrzymanie zieleni w miastach i gminach</t>
  </si>
  <si>
    <t>0400</t>
  </si>
  <si>
    <t>Wpływy z opłaty produktowej</t>
  </si>
  <si>
    <t>Wpływy i wydatki związane z gromadzeniem środkó z opłat produktowych</t>
  </si>
  <si>
    <t>0640</t>
  </si>
  <si>
    <t>wpływy z opłaty produktowej</t>
  </si>
  <si>
    <t>0940</t>
  </si>
  <si>
    <t>0870</t>
  </si>
  <si>
    <t>2710</t>
  </si>
  <si>
    <t>75495</t>
  </si>
  <si>
    <t>85154</t>
  </si>
  <si>
    <t>Wpływy z rozliczeń/zwrotów z lat ubiegłych</t>
  </si>
  <si>
    <t>Wpływy z otrzymanych spadków, zapisów i darowizn w postaci pieniężnej</t>
  </si>
  <si>
    <t>Dotacja celowa otrzymana z tytułu pomocy finansowej udzielone między jednostkami samorządu terytorialnego na dofinansowanie własnych zadań bieżących</t>
  </si>
  <si>
    <t>Wpływy z tytułu kosztów egzekucyjnych, opłaty komorniczej i kosztów upomnień</t>
  </si>
  <si>
    <t>Wpływy ze sprzedaży składników majątkowych</t>
  </si>
  <si>
    <t>Promocja jednostek samorządu terytorialnego</t>
  </si>
  <si>
    <t>Dotacja celowa otrzymana z tytułu pomocy finansowej udzielanej między jednostkami samorządu terytorialnego na dofinansowanie własnych zadań  bieżących</t>
  </si>
  <si>
    <t>Wspólna obsługa jednostek samorzadu terytorialnego</t>
  </si>
  <si>
    <t>Wpływy z pozostałych odsetek</t>
  </si>
  <si>
    <t>Wpływy z różnych rozliczeń/zwrotów z lat ubiegłych</t>
  </si>
  <si>
    <t>Realizacja zadań wymagających stosowania specjalnej organizacji nauki i metod pracy dla dzieci w przedszkolach, oddziałąch przedszkolnych w szkołach podstawowych i innych formach wychowania przedszkolnego</t>
  </si>
  <si>
    <t>Przeciwdziałanie alkoholizmowi</t>
  </si>
  <si>
    <t>Plan po zmianach na 30.09.2017</t>
  </si>
  <si>
    <t>Dochody wykonane na dzień 30.09.2017</t>
  </si>
  <si>
    <t>Wykonanie  2016</t>
  </si>
  <si>
    <t>0780</t>
  </si>
  <si>
    <t>6320</t>
  </si>
  <si>
    <t>2400</t>
  </si>
  <si>
    <t>Wpływy ze zbycia  składników majątkowych</t>
  </si>
  <si>
    <t>Wpływy do budżetu pozostałości środków finansowych gromadzonych na wydzielonym rachunku jednostki budżetowej</t>
  </si>
  <si>
    <t>Dotacje celowe przekazane z budżetu państwa na inwestycje i zakupy inwestycyjne realizowane przez gminę na podstawie porozumień z organami administracji rządowej</t>
  </si>
  <si>
    <t>PW 2017</t>
  </si>
  <si>
    <t>Projekt 2018</t>
  </si>
  <si>
    <t>0950</t>
  </si>
  <si>
    <t>Stołówki szkolne</t>
  </si>
  <si>
    <t>Wpływy z tytułu kar i kdszkodowań wynikające z umów</t>
  </si>
  <si>
    <t>Budżet z Uchwały Rady 2017</t>
  </si>
  <si>
    <t>Wykonanie 2016r.</t>
  </si>
  <si>
    <t xml:space="preserve">dochody bieżące </t>
  </si>
  <si>
    <t>Dotacje celowe otrzymane z budżetu państwa na reazlizację zadań nieżących gmin z zakresu edukacyjnej opieki wychowawczej finansowanych w całości przez budżet państwa w ramach programów rządowych</t>
  </si>
  <si>
    <t>Srodki otrzymane od pozostałych jednostek zaliczanych do sektora finansów publicznych na realizację zadań bieżących jednostek zaliczanych do sektora finansów publicznych</t>
  </si>
  <si>
    <t>Subwencje</t>
  </si>
  <si>
    <t>Majątkowe własne</t>
  </si>
  <si>
    <t>majątkowe dot i UE</t>
  </si>
  <si>
    <t xml:space="preserve">razem dotacje własne  bieżące </t>
  </si>
  <si>
    <t xml:space="preserve">ZBIORCZE dochody </t>
  </si>
  <si>
    <t>Razem doch z zewnątrz</t>
  </si>
  <si>
    <t xml:space="preserve">w tym dochody własne </t>
  </si>
  <si>
    <t>Subw</t>
  </si>
  <si>
    <t>Razem podsum  paragr dot i UE</t>
  </si>
  <si>
    <t xml:space="preserve">Doch własne </t>
  </si>
  <si>
    <t>doch poszcz parag</t>
  </si>
  <si>
    <t xml:space="preserve">nie </t>
  </si>
  <si>
    <t>nie</t>
  </si>
  <si>
    <t>Razem z zewnątrz</t>
  </si>
  <si>
    <t>Zbiorcze dochody</t>
  </si>
  <si>
    <t>razem bieżące UE</t>
  </si>
  <si>
    <t>razem dotacje zlecone  bież</t>
  </si>
  <si>
    <t xml:space="preserve">razem  majątkowe  dotacje i UE </t>
  </si>
  <si>
    <t xml:space="preserve">budzet majątkowy zbiorczo </t>
  </si>
  <si>
    <t xml:space="preserve">w tym dotacje i UE  mjątkowe </t>
  </si>
  <si>
    <t xml:space="preserve">budzet bieżący </t>
  </si>
  <si>
    <t xml:space="preserve">w tym dotacje i UE  bieżące </t>
  </si>
  <si>
    <t xml:space="preserve">Zbiorczo bież zewnętrzne </t>
  </si>
  <si>
    <t>własne bieżące</t>
  </si>
  <si>
    <t xml:space="preserve">subwencje </t>
  </si>
  <si>
    <t xml:space="preserve">razem własne dochody </t>
  </si>
  <si>
    <t xml:space="preserve">Zbioczy budżet </t>
  </si>
  <si>
    <t xml:space="preserve">Dochody własne </t>
  </si>
  <si>
    <t>zbiorcze dotacje UE + subwen</t>
  </si>
  <si>
    <t xml:space="preserve">NIE </t>
  </si>
  <si>
    <t xml:space="preserve">różnice  wykaz własne </t>
  </si>
  <si>
    <t>Wykonanie 2017r.</t>
  </si>
  <si>
    <t>Budżet z Uchwały Rady 2018</t>
  </si>
  <si>
    <t>Plan po zmianach na 30.09.2018</t>
  </si>
  <si>
    <t>Dochody wykonane na dzień 30.09.2018</t>
  </si>
  <si>
    <t>PW 2018</t>
  </si>
  <si>
    <t>Projekt 2019</t>
  </si>
  <si>
    <t>Wsk. Proj 2019 do pw 2018</t>
  </si>
  <si>
    <t>Wykonanie  2017r.</t>
  </si>
  <si>
    <t>Dochody wykonane na 30.09.2018</t>
  </si>
  <si>
    <t>Wykonanie 2017</t>
  </si>
  <si>
    <t>Plan z Uchwały Rady 2018</t>
  </si>
  <si>
    <t>8Wykonanie na dzień 30.09.2017</t>
  </si>
  <si>
    <t>6620</t>
  </si>
  <si>
    <t>6260</t>
  </si>
  <si>
    <t>Dotacje otrzymane z państwowych funduszy celowych na finansowanie lub dofinansowanie kosztów realizacji inwestycji i zakupów inwestycyjnych jednostek sektora finansów publicznych</t>
  </si>
  <si>
    <t>0630</t>
  </si>
  <si>
    <t>Wpływy z tytułu opłat i kosztów sądowych oraz innych opłat uiszczanych na rzecz Skarbu Państwa z tytułu postępowania sądowego i prokuratorskiego”,</t>
  </si>
  <si>
    <t>75109</t>
  </si>
  <si>
    <t>Wybory do rad gmin, rad powiatów i sejmików województw, wybory wójtów, burmistrzów i prezydentów miast oraz referenda gminne, powiatowe i wojewódzkie</t>
  </si>
  <si>
    <t>750</t>
  </si>
  <si>
    <t>020</t>
  </si>
  <si>
    <t>2440</t>
  </si>
  <si>
    <t>097</t>
  </si>
  <si>
    <t>85220</t>
  </si>
  <si>
    <t>80153</t>
  </si>
  <si>
    <t>801     851</t>
  </si>
  <si>
    <t>nik %</t>
  </si>
  <si>
    <t>8do7</t>
  </si>
  <si>
    <t>Wskaźnik</t>
  </si>
  <si>
    <t xml:space="preserve">% 09:08   NIE  </t>
  </si>
  <si>
    <t>Infrastruktura wodoiągowa i sanitacyjna wsi</t>
  </si>
  <si>
    <t>Dochody z najmu i dzierżawy składników majątkowych Skarbu Państwa</t>
  </si>
  <si>
    <t xml:space="preserve">LESNICTWO </t>
  </si>
  <si>
    <t>Wpływy z tytułu kar i Odszkodowań wynikające z umów</t>
  </si>
  <si>
    <t>Wpływy z podatku dochodowego od osób fizycznych</t>
  </si>
  <si>
    <t>Wpływy z innych opłat stanowiących dochody jednostek samorządu erytorialnego na podstawie  ustaw</t>
  </si>
  <si>
    <t>Wpływy z innych lokalnych opłat pobieranych przez jednostki samorządu terytorialnego</t>
  </si>
  <si>
    <t>Udziały gmin w podatkach stanowiących dochód budżetu państwa</t>
  </si>
  <si>
    <t>Podatek dochodowy od osób fizycznych</t>
  </si>
  <si>
    <t>Dotacje celowe otrzymane z budżetu państwa na  realizację zadań  bieżących z zakresu administracji rządowej</t>
  </si>
  <si>
    <t>Struktura % 2019r</t>
  </si>
  <si>
    <t>Dochody z najmu i dzierżawy składników majątkowych Skarbu Państwa,Jednostek samorządu terytorialnego lub innych jednostek zaliczanych do sektora finansów publicznych oraz innych umów o podobnym charakterze</t>
  </si>
  <si>
    <t>Dotacje celowe otrzymane z powiatu na zadania bieżące realizowane na podstawie porozumień miedzy jednostkami samorzadu terytorialnego.</t>
  </si>
  <si>
    <t>Dotacje celowe otrzymane z powiatu na zadania bieżące realizowane na podstawie porozumień miedzy jednostkami samorzadu  terytorialnego</t>
  </si>
  <si>
    <t>Wpływy z innych lokalnych opłat pobieranych przez jednostki dsamorzadu terytorialnego</t>
  </si>
  <si>
    <t>Dochody z najmu i dzierż. składników majątkowych jednostek samorządu terytorialnego</t>
  </si>
  <si>
    <t>DOCHODY ZBIORCZE , w tym :</t>
  </si>
  <si>
    <t>dochody majątkowe</t>
  </si>
  <si>
    <t xml:space="preserve">Zał. Nr 1 do Zarządzenia Burmistrza Jezioran Nr …/18 z dnia 15.11.2018r PROJEKT DOCHODÓW  gminy na rok 2019 </t>
  </si>
  <si>
    <t>Urzędy naczelnych organów władzy władzy państwowej,kontroli i ochrony prawa oraz sądownictwa</t>
  </si>
  <si>
    <t xml:space="preserve">Dotacje celowe otrzymane z budżetu państwa na reaizację zadań bieżących. z zakresu administracji rządowej oraz innych zadań zleconych gminie ustawami </t>
  </si>
  <si>
    <t>Wpływyz najmu i dzierżawy składników majątkowych Skarbu Państwa,jednostek samorządu terytorialnego  lub innych jednostek  zaliczanych do sektora finansów publicznych oraz innych  umów o podobnym charakterze</t>
  </si>
  <si>
    <t xml:space="preserve">Dotacje otrzymane z państwowych funduszy celowych  na finansowanie lub dofinansowanie kosztów realizacji inwestycji i zakupów inwestycyjnych  jednostek sektora finansów publicznych </t>
  </si>
  <si>
    <t xml:space="preserve">Dotacje celowe otrzymane z budżetu państwa na realizację zadań bieżących z zakresu administracji rządowej oraz innych zadań zleconych gminie ustawami </t>
  </si>
  <si>
    <t xml:space="preserve">Wybory do rad gmin,rad powiatów i sejmików województw,wybory wójtów,burmistrzów i prezydentów miast oraz referenda gminne,powiatowe i wojewódzkie </t>
  </si>
  <si>
    <t>BEZPIECZEŃSTWO PUPLICZNE I OCHRONA PRZECIWPOŻAROWA</t>
  </si>
  <si>
    <t xml:space="preserve">Dotacje otrzymane z państwowych funduszy celowych na realizację zadań bieżących jednostek sektora finansów publicznych </t>
  </si>
  <si>
    <t xml:space="preserve">Wpływy z podatku rolnego leśnego,podatku od czynności cywilno-prawnych, podatków i opłat lokalnychod osób prawnych i innych jednostek organizacyjnych </t>
  </si>
  <si>
    <t>Wpływy z podatku od nieruchomości</t>
  </si>
  <si>
    <t>Wpływy z podatku rolnego</t>
  </si>
  <si>
    <t xml:space="preserve">Wpływy z podatku leśnego </t>
  </si>
  <si>
    <t xml:space="preserve">Wpływy z podatku od środków transportowych </t>
  </si>
  <si>
    <t>Wpływy z podatku od spadku i darowizn</t>
  </si>
  <si>
    <t>Wpływy z oplaty od posiadania psów</t>
  </si>
  <si>
    <t>Wpływy zpodatku od działalności gospodarczej od osób fizycznych,oplacanego w formie karty podatkowej</t>
  </si>
  <si>
    <t xml:space="preserve">Przedszkola specjalne </t>
  </si>
  <si>
    <t xml:space="preserve">Wpływy z najmu i dzierżawy  skladników majątkowych Skarbu Państwa </t>
  </si>
  <si>
    <t xml:space="preserve">struktura %2018     </t>
  </si>
  <si>
    <t xml:space="preserve">struktura % 2019      </t>
  </si>
  <si>
    <t>siłownia</t>
  </si>
  <si>
    <t xml:space="preserve">     851</t>
  </si>
  <si>
    <t xml:space="preserve">Zapewnienie uczniom prawa do bezpłatnego dostępu do podręczników,materiałów edukacyjnych lub materiałów ćwiczeniowych </t>
  </si>
  <si>
    <t xml:space="preserve">Wpływy z rozliczeń/zwrotów z lat ubiegłych </t>
  </si>
  <si>
    <t>85513</t>
  </si>
  <si>
    <t>Wpływy z najmu i dzierżawy składników majątkowych Skarbu Państwa,jednostek samorządu terytorialnego lub innych jednostek zaliczanych do sektora finansów publicznych oraz innych unów o podobnym charakterze</t>
  </si>
  <si>
    <t>Wpływy z tytułu kar i odszkodowań wynikające z umów</t>
  </si>
  <si>
    <t>Wpływy z roliczeń/zwrotów z lat ubiegłych</t>
  </si>
  <si>
    <t>Wpływy z odsetek od nieterminowych wpłat z tytułu podatków i opłat</t>
  </si>
  <si>
    <t>Wpływy z innych lokalnych opłat pobieranych przez jst.naq podstawie odrębnych przepisów</t>
  </si>
  <si>
    <t>Składki  na ubezpieczenia zdrowotne opłacane za osoby pobierające niektóre świadczenia rodzinne</t>
  </si>
  <si>
    <t>Dotacje celowe otrzymane z budżetu państwa na realizację inwestycji i zakupów inwestycyjnych własnych gmin(związków gmin,związków powiatowo-gminnych)</t>
  </si>
  <si>
    <t>Kwalifikacyjne kursy zawodowe</t>
  </si>
  <si>
    <t>Jednostki specjalistycznego poradnictwa,mieszkania chronione i ośrodki interwencji kryzysowej</t>
  </si>
  <si>
    <t xml:space="preserve">Subwencje </t>
  </si>
  <si>
    <t>Razem  Dotacje majątkowe</t>
  </si>
  <si>
    <t xml:space="preserve">Dochody własne  bieżące </t>
  </si>
  <si>
    <t>Dochody własne majątkowe</t>
  </si>
  <si>
    <t xml:space="preserve">Razem dotacje bieżące </t>
  </si>
  <si>
    <t xml:space="preserve">Razem własne </t>
  </si>
  <si>
    <t xml:space="preserve">Razem majątkowe </t>
  </si>
  <si>
    <t xml:space="preserve">Razem bieżące </t>
  </si>
  <si>
    <t>róż majątk</t>
  </si>
  <si>
    <t>…….</t>
  </si>
  <si>
    <t>85228</t>
  </si>
  <si>
    <t>róż bież 549,000</t>
  </si>
  <si>
    <t>dotacje bieżące: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</si>
</sst>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"/>
    <numFmt numFmtId="174" formatCode="0.0000000"/>
    <numFmt numFmtId="175" formatCode="0.0%"/>
    <numFmt numFmtId="176" formatCode="0.000%"/>
    <numFmt numFmtId="177" formatCode="00\-000"/>
    <numFmt numFmtId="178" formatCode="#,##0.000"/>
    <numFmt numFmtId="179" formatCode="0.00000000"/>
  </numFmts>
  <fonts count="59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7"/>
      <name val="Arial"/>
      <family val="2"/>
    </font>
    <font>
      <i/>
      <sz val="7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7"/>
      <color indexed="10"/>
      <name val="Times New Roman"/>
      <family val="1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000000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7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350">
    <xf numFmtId="0" fontId="0" fillId="0" borderId="0" xfId="0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0" fillId="0" borderId="0" xfId="0" applyAlignment="1">
      <alignment horizontal="left"/>
    </xf>
    <xf numFmtId="0" fontId="9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4" fontId="8" fillId="0" borderId="10" xfId="0" applyNumberFormat="1" applyFont="1" applyBorder="1" applyAlignment="1">
      <alignment horizontal="left" vertical="top" wrapText="1"/>
    </xf>
    <xf numFmtId="4" fontId="9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left" vertical="top" wrapText="1"/>
    </xf>
    <xf numFmtId="2" fontId="9" fillId="0" borderId="10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" fontId="0" fillId="0" borderId="10" xfId="0" applyNumberFormat="1" applyBorder="1" applyAlignment="1">
      <alignment horizont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49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1" xfId="0" applyBorder="1" applyAlignment="1">
      <alignment horizontal="left" vertical="top" wrapText="1"/>
    </xf>
    <xf numFmtId="0" fontId="33" fillId="0" borderId="10" xfId="0" applyFont="1" applyBorder="1" applyAlignment="1">
      <alignment/>
    </xf>
    <xf numFmtId="49" fontId="0" fillId="0" borderId="10" xfId="0" applyNumberFormat="1" applyBorder="1" applyAlignment="1">
      <alignment horizontal="left"/>
    </xf>
    <xf numFmtId="4" fontId="2" fillId="0" borderId="10" xfId="0" applyNumberFormat="1" applyFont="1" applyBorder="1" applyAlignment="1">
      <alignment horizontal="left" vertical="top"/>
    </xf>
    <xf numFmtId="173" fontId="1" fillId="0" borderId="10" xfId="0" applyNumberFormat="1" applyFont="1" applyBorder="1" applyAlignment="1">
      <alignment horizontal="left" vertical="top" wrapText="1"/>
    </xf>
    <xf numFmtId="173" fontId="2" fillId="0" borderId="10" xfId="0" applyNumberFormat="1" applyFont="1" applyBorder="1" applyAlignment="1">
      <alignment horizontal="left" vertical="top" wrapText="1"/>
    </xf>
    <xf numFmtId="0" fontId="34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73" fontId="2" fillId="0" borderId="1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horizontal="center" vertical="top"/>
    </xf>
    <xf numFmtId="4" fontId="1" fillId="0" borderId="10" xfId="0" applyNumberFormat="1" applyFont="1" applyBorder="1" applyAlignment="1">
      <alignment vertical="top"/>
    </xf>
    <xf numFmtId="173" fontId="1" fillId="0" borderId="10" xfId="0" applyNumberFormat="1" applyFont="1" applyBorder="1" applyAlignment="1">
      <alignment vertical="top"/>
    </xf>
    <xf numFmtId="4" fontId="8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/>
    </xf>
    <xf numFmtId="173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center" vertical="top"/>
    </xf>
    <xf numFmtId="0" fontId="32" fillId="0" borderId="10" xfId="0" applyFont="1" applyBorder="1" applyAlignment="1">
      <alignment vertical="top"/>
    </xf>
    <xf numFmtId="4" fontId="32" fillId="0" borderId="10" xfId="0" applyNumberFormat="1" applyFont="1" applyBorder="1" applyAlignment="1">
      <alignment vertical="top"/>
    </xf>
    <xf numFmtId="173" fontId="6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/>
    </xf>
    <xf numFmtId="173" fontId="32" fillId="0" borderId="1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 wrapText="1" shrinkToFit="1"/>
    </xf>
    <xf numFmtId="173" fontId="2" fillId="0" borderId="10" xfId="0" applyNumberFormat="1" applyFont="1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73" fontId="2" fillId="0" borderId="10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0" fontId="10" fillId="0" borderId="10" xfId="0" applyFont="1" applyBorder="1" applyAlignment="1">
      <alignment vertical="top" wrapText="1"/>
    </xf>
    <xf numFmtId="4" fontId="10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6" fillId="0" borderId="10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0" fontId="30" fillId="0" borderId="10" xfId="0" applyFont="1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173" fontId="10" fillId="0" borderId="1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30" fillId="0" borderId="10" xfId="0" applyFont="1" applyBorder="1" applyAlignment="1">
      <alignment horizontal="center" vertical="top" wrapText="1"/>
    </xf>
    <xf numFmtId="2" fontId="6" fillId="0" borderId="0" xfId="0" applyNumberFormat="1" applyFont="1" applyAlignment="1">
      <alignment horizontal="left"/>
    </xf>
    <xf numFmtId="2" fontId="1" fillId="0" borderId="10" xfId="0" applyNumberFormat="1" applyFont="1" applyBorder="1" applyAlignment="1">
      <alignment horizontal="left" vertical="top"/>
    </xf>
    <xf numFmtId="2" fontId="8" fillId="0" borderId="10" xfId="0" applyNumberFormat="1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left" vertical="top"/>
    </xf>
    <xf numFmtId="2" fontId="2" fillId="0" borderId="10" xfId="0" applyNumberFormat="1" applyFont="1" applyBorder="1" applyAlignment="1">
      <alignment horizontal="left" vertical="top"/>
    </xf>
    <xf numFmtId="2" fontId="2" fillId="0" borderId="10" xfId="0" applyNumberFormat="1" applyFont="1" applyBorder="1" applyAlignment="1">
      <alignment horizontal="left" vertical="top"/>
    </xf>
    <xf numFmtId="2" fontId="1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center" vertical="top"/>
    </xf>
    <xf numFmtId="173" fontId="10" fillId="0" borderId="10" xfId="0" applyNumberFormat="1" applyFont="1" applyBorder="1" applyAlignment="1">
      <alignment vertical="top"/>
    </xf>
    <xf numFmtId="2" fontId="10" fillId="0" borderId="10" xfId="0" applyNumberFormat="1" applyFont="1" applyBorder="1" applyAlignment="1">
      <alignment horizontal="left" vertical="top"/>
    </xf>
    <xf numFmtId="0" fontId="31" fillId="0" borderId="10" xfId="0" applyFont="1" applyBorder="1" applyAlignment="1">
      <alignment vertical="top"/>
    </xf>
    <xf numFmtId="0" fontId="6" fillId="0" borderId="10" xfId="0" applyFont="1" applyBorder="1" applyAlignment="1">
      <alignment horizontal="left" vertical="top"/>
    </xf>
    <xf numFmtId="49" fontId="1" fillId="0" borderId="14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/>
    </xf>
    <xf numFmtId="4" fontId="2" fillId="24" borderId="10" xfId="0" applyNumberFormat="1" applyFont="1" applyFill="1" applyBorder="1" applyAlignment="1">
      <alignment vertical="top"/>
    </xf>
    <xf numFmtId="173" fontId="2" fillId="24" borderId="10" xfId="0" applyNumberFormat="1" applyFont="1" applyFill="1" applyBorder="1" applyAlignment="1">
      <alignment vertical="top"/>
    </xf>
    <xf numFmtId="2" fontId="2" fillId="24" borderId="10" xfId="0" applyNumberFormat="1" applyFont="1" applyFill="1" applyBorder="1" applyAlignment="1">
      <alignment horizontal="left"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/>
    </xf>
    <xf numFmtId="168" fontId="1" fillId="0" borderId="10" xfId="0" applyNumberFormat="1" applyFont="1" applyBorder="1" applyAlignment="1">
      <alignment horizontal="left" vertical="top"/>
    </xf>
    <xf numFmtId="168" fontId="2" fillId="0" borderId="10" xfId="0" applyNumberFormat="1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/>
    </xf>
    <xf numFmtId="0" fontId="33" fillId="0" borderId="0" xfId="0" applyFont="1" applyAlignment="1">
      <alignment vertical="top" wrapText="1"/>
    </xf>
    <xf numFmtId="4" fontId="33" fillId="0" borderId="0" xfId="0" applyNumberFormat="1" applyFont="1" applyAlignment="1">
      <alignment vertical="top" wrapText="1"/>
    </xf>
    <xf numFmtId="0" fontId="1" fillId="24" borderId="10" xfId="0" applyFont="1" applyFill="1" applyBorder="1" applyAlignment="1">
      <alignment horizontal="left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0" fontId="33" fillId="0" borderId="14" xfId="0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0" fillId="0" borderId="12" xfId="0" applyBorder="1" applyAlignment="1">
      <alignment horizontal="left" vertical="top"/>
    </xf>
    <xf numFmtId="49" fontId="2" fillId="0" borderId="11" xfId="0" applyNumberFormat="1" applyFont="1" applyBorder="1" applyAlignment="1">
      <alignment horizontal="left" vertical="top" wrapText="1"/>
    </xf>
    <xf numFmtId="4" fontId="2" fillId="0" borderId="14" xfId="0" applyNumberFormat="1" applyFont="1" applyBorder="1" applyAlignment="1">
      <alignment vertical="top"/>
    </xf>
    <xf numFmtId="0" fontId="2" fillId="0" borderId="15" xfId="0" applyFont="1" applyBorder="1" applyAlignment="1">
      <alignment horizontal="left" vertical="top" wrapText="1"/>
    </xf>
    <xf numFmtId="0" fontId="33" fillId="0" borderId="11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/>
    </xf>
    <xf numFmtId="4" fontId="3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" fontId="6" fillId="0" borderId="10" xfId="0" applyNumberFormat="1" applyFont="1" applyBorder="1" applyAlignment="1">
      <alignment horizontal="left" vertical="top"/>
    </xf>
    <xf numFmtId="4" fontId="0" fillId="0" borderId="0" xfId="0" applyNumberFormat="1" applyAlignment="1">
      <alignment/>
    </xf>
    <xf numFmtId="4" fontId="33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4" fontId="36" fillId="0" borderId="0" xfId="0" applyNumberFormat="1" applyFont="1" applyBorder="1" applyAlignment="1">
      <alignment/>
    </xf>
    <xf numFmtId="4" fontId="36" fillId="0" borderId="0" xfId="0" applyNumberFormat="1" applyFont="1" applyAlignment="1">
      <alignment/>
    </xf>
    <xf numFmtId="0" fontId="36" fillId="0" borderId="0" xfId="0" applyFont="1" applyAlignment="1">
      <alignment/>
    </xf>
    <xf numFmtId="4" fontId="35" fillId="0" borderId="0" xfId="0" applyNumberFormat="1" applyFont="1" applyAlignment="1">
      <alignment/>
    </xf>
    <xf numFmtId="4" fontId="37" fillId="0" borderId="0" xfId="0" applyNumberFormat="1" applyFont="1" applyAlignment="1">
      <alignment/>
    </xf>
    <xf numFmtId="4" fontId="38" fillId="0" borderId="0" xfId="0" applyNumberFormat="1" applyFont="1" applyAlignment="1">
      <alignment/>
    </xf>
    <xf numFmtId="4" fontId="53" fillId="0" borderId="0" xfId="0" applyNumberFormat="1" applyFont="1" applyAlignment="1">
      <alignment/>
    </xf>
    <xf numFmtId="0" fontId="54" fillId="0" borderId="0" xfId="0" applyFont="1" applyAlignment="1">
      <alignment/>
    </xf>
    <xf numFmtId="0" fontId="39" fillId="0" borderId="0" xfId="0" applyFont="1" applyAlignment="1">
      <alignment/>
    </xf>
    <xf numFmtId="4" fontId="4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33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left" vertical="top" wrapText="1"/>
    </xf>
    <xf numFmtId="4" fontId="41" fillId="0" borderId="10" xfId="0" applyNumberFormat="1" applyFont="1" applyBorder="1" applyAlignment="1">
      <alignment horizontal="left" vertical="top" wrapText="1"/>
    </xf>
    <xf numFmtId="4" fontId="42" fillId="0" borderId="12" xfId="0" applyNumberFormat="1" applyFont="1" applyBorder="1" applyAlignment="1">
      <alignment horizontal="left" vertical="top" wrapText="1"/>
    </xf>
    <xf numFmtId="4" fontId="43" fillId="0" borderId="11" xfId="0" applyNumberFormat="1" applyFont="1" applyBorder="1" applyAlignment="1">
      <alignment horizontal="left" vertical="top" wrapText="1"/>
    </xf>
    <xf numFmtId="4" fontId="43" fillId="0" borderId="14" xfId="0" applyNumberFormat="1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49" fontId="41" fillId="0" borderId="10" xfId="0" applyNumberFormat="1" applyFont="1" applyBorder="1" applyAlignment="1">
      <alignment horizontal="left" vertical="top" wrapText="1"/>
    </xf>
    <xf numFmtId="0" fontId="38" fillId="0" borderId="11" xfId="0" applyFont="1" applyBorder="1" applyAlignment="1">
      <alignment horizontal="left" vertical="top" wrapText="1"/>
    </xf>
    <xf numFmtId="49" fontId="41" fillId="0" borderId="11" xfId="0" applyNumberFormat="1" applyFont="1" applyBorder="1" applyAlignment="1">
      <alignment horizontal="left" vertical="top" wrapText="1"/>
    </xf>
    <xf numFmtId="0" fontId="38" fillId="0" borderId="14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left" vertical="top" wrapText="1"/>
    </xf>
    <xf numFmtId="49" fontId="41" fillId="0" borderId="14" xfId="0" applyNumberFormat="1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49" fontId="44" fillId="0" borderId="10" xfId="0" applyNumberFormat="1" applyFont="1" applyBorder="1" applyAlignment="1">
      <alignment horizontal="left" vertical="top" wrapText="1"/>
    </xf>
    <xf numFmtId="49" fontId="44" fillId="0" borderId="11" xfId="0" applyNumberFormat="1" applyFont="1" applyBorder="1" applyAlignment="1">
      <alignment horizontal="left" vertical="top" wrapText="1"/>
    </xf>
    <xf numFmtId="4" fontId="56" fillId="0" borderId="10" xfId="0" applyNumberFormat="1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4" fontId="57" fillId="0" borderId="10" xfId="0" applyNumberFormat="1" applyFont="1" applyBorder="1" applyAlignment="1">
      <alignment horizontal="left" vertical="top" wrapText="1"/>
    </xf>
    <xf numFmtId="4" fontId="56" fillId="0" borderId="10" xfId="0" applyNumberFormat="1" applyFont="1" applyBorder="1" applyAlignment="1">
      <alignment horizontal="left" vertical="top"/>
    </xf>
    <xf numFmtId="0" fontId="42" fillId="0" borderId="10" xfId="0" applyFont="1" applyBorder="1" applyAlignment="1">
      <alignment horizontal="left" vertical="top" wrapText="1"/>
    </xf>
    <xf numFmtId="49" fontId="56" fillId="0" borderId="10" xfId="0" applyNumberFormat="1" applyFont="1" applyBorder="1" applyAlignment="1">
      <alignment horizontal="left" vertical="top" wrapText="1"/>
    </xf>
    <xf numFmtId="173" fontId="0" fillId="0" borderId="10" xfId="0" applyNumberFormat="1" applyBorder="1" applyAlignment="1">
      <alignment/>
    </xf>
    <xf numFmtId="0" fontId="6" fillId="0" borderId="10" xfId="0" applyFont="1" applyBorder="1" applyAlignment="1">
      <alignment horizontal="left"/>
    </xf>
    <xf numFmtId="0" fontId="36" fillId="0" borderId="10" xfId="0" applyFont="1" applyBorder="1" applyAlignment="1">
      <alignment/>
    </xf>
    <xf numFmtId="4" fontId="46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left" vertical="top" wrapText="1"/>
    </xf>
    <xf numFmtId="4" fontId="2" fillId="24" borderId="10" xfId="0" applyNumberFormat="1" applyFont="1" applyFill="1" applyBorder="1" applyAlignment="1">
      <alignment horizontal="left" vertical="top" wrapText="1"/>
    </xf>
    <xf numFmtId="0" fontId="35" fillId="0" borderId="14" xfId="0" applyFont="1" applyBorder="1" applyAlignment="1">
      <alignment horizontal="left" vertical="top" wrapText="1"/>
    </xf>
    <xf numFmtId="4" fontId="56" fillId="24" borderId="10" xfId="0" applyNumberFormat="1" applyFont="1" applyFill="1" applyBorder="1" applyAlignment="1">
      <alignment horizontal="left" vertical="top" wrapText="1"/>
    </xf>
    <xf numFmtId="49" fontId="41" fillId="0" borderId="12" xfId="0" applyNumberFormat="1" applyFont="1" applyBorder="1" applyAlignment="1">
      <alignment horizontal="left" vertical="top" wrapText="1"/>
    </xf>
    <xf numFmtId="4" fontId="57" fillId="0" borderId="10" xfId="0" applyNumberFormat="1" applyFont="1" applyBorder="1" applyAlignment="1">
      <alignment horizontal="left" vertical="top" wrapText="1"/>
    </xf>
    <xf numFmtId="0" fontId="45" fillId="0" borderId="10" xfId="0" applyFont="1" applyBorder="1" applyAlignment="1">
      <alignment/>
    </xf>
    <xf numFmtId="0" fontId="1" fillId="24" borderId="10" xfId="0" applyFont="1" applyFill="1" applyBorder="1" applyAlignment="1">
      <alignment horizontal="left" vertical="top" wrapText="1"/>
    </xf>
    <xf numFmtId="4" fontId="1" fillId="24" borderId="10" xfId="0" applyNumberFormat="1" applyFont="1" applyFill="1" applyBorder="1" applyAlignment="1">
      <alignment horizontal="left" vertical="top" wrapText="1"/>
    </xf>
    <xf numFmtId="173" fontId="1" fillId="24" borderId="10" xfId="0" applyNumberFormat="1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4" fontId="56" fillId="0" borderId="10" xfId="0" applyNumberFormat="1" applyFont="1" applyBorder="1" applyAlignment="1">
      <alignment horizontal="left" vertical="top" wrapText="1"/>
    </xf>
    <xf numFmtId="4" fontId="36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5" fillId="0" borderId="10" xfId="0" applyNumberFormat="1" applyFont="1" applyBorder="1" applyAlignment="1">
      <alignment/>
    </xf>
    <xf numFmtId="4" fontId="58" fillId="0" borderId="10" xfId="0" applyNumberFormat="1" applyFont="1" applyBorder="1" applyAlignment="1">
      <alignment horizontal="left" vertical="top" wrapText="1"/>
    </xf>
    <xf numFmtId="49" fontId="33" fillId="0" borderId="10" xfId="0" applyNumberFormat="1" applyFont="1" applyBorder="1" applyAlignment="1">
      <alignment/>
    </xf>
    <xf numFmtId="49" fontId="41" fillId="0" borderId="12" xfId="0" applyNumberFormat="1" applyFont="1" applyBorder="1" applyAlignment="1">
      <alignment horizontal="left" vertical="top"/>
    </xf>
    <xf numFmtId="49" fontId="41" fillId="0" borderId="14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49" fontId="41" fillId="0" borderId="12" xfId="0" applyNumberFormat="1" applyFont="1" applyBorder="1" applyAlignment="1">
      <alignment horizontal="left" vertical="top" wrapText="1"/>
    </xf>
    <xf numFmtId="0" fontId="38" fillId="0" borderId="11" xfId="0" applyFont="1" applyBorder="1" applyAlignment="1">
      <alignment horizontal="left" vertical="top" wrapText="1"/>
    </xf>
    <xf numFmtId="0" fontId="38" fillId="0" borderId="14" xfId="0" applyFont="1" applyBorder="1" applyAlignment="1">
      <alignment horizontal="left" vertical="top" wrapText="1"/>
    </xf>
    <xf numFmtId="49" fontId="44" fillId="0" borderId="11" xfId="0" applyNumberFormat="1" applyFont="1" applyBorder="1" applyAlignment="1">
      <alignment horizontal="left"/>
    </xf>
    <xf numFmtId="49" fontId="41" fillId="0" borderId="11" xfId="0" applyNumberFormat="1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left" vertical="top" wrapText="1"/>
    </xf>
    <xf numFmtId="0" fontId="41" fillId="0" borderId="14" xfId="0" applyFont="1" applyBorder="1" applyAlignment="1">
      <alignment horizontal="left" vertical="top" wrapText="1"/>
    </xf>
    <xf numFmtId="49" fontId="41" fillId="0" borderId="14" xfId="0" applyNumberFormat="1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/>
    </xf>
    <xf numFmtId="4" fontId="1" fillId="0" borderId="16" xfId="0" applyNumberFormat="1" applyFont="1" applyBorder="1" applyAlignment="1">
      <alignment horizontal="center" vertical="top" wrapText="1"/>
    </xf>
    <xf numFmtId="4" fontId="1" fillId="0" borderId="17" xfId="0" applyNumberFormat="1" applyFont="1" applyBorder="1" applyAlignment="1">
      <alignment horizontal="center" vertical="top" wrapText="1"/>
    </xf>
    <xf numFmtId="4" fontId="1" fillId="0" borderId="18" xfId="0" applyNumberFormat="1" applyFont="1" applyBorder="1" applyAlignment="1">
      <alignment horizontal="center" vertical="top" wrapText="1"/>
    </xf>
    <xf numFmtId="4" fontId="1" fillId="0" borderId="19" xfId="0" applyNumberFormat="1" applyFont="1" applyBorder="1" applyAlignment="1">
      <alignment horizontal="center" vertical="top" wrapText="1"/>
    </xf>
    <xf numFmtId="4" fontId="1" fillId="0" borderId="20" xfId="0" applyNumberFormat="1" applyFont="1" applyBorder="1" applyAlignment="1">
      <alignment horizontal="center" vertical="top" wrapText="1"/>
    </xf>
    <xf numFmtId="4" fontId="1" fillId="0" borderId="21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49" fontId="41" fillId="0" borderId="10" xfId="0" applyNumberFormat="1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35" fillId="0" borderId="12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0" fontId="35" fillId="0" borderId="14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/>
    </xf>
    <xf numFmtId="0" fontId="8" fillId="0" borderId="12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7" fillId="24" borderId="10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33" fillId="0" borderId="24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horizontal="center" vertical="top" wrapText="1"/>
    </xf>
    <xf numFmtId="4" fontId="8" fillId="0" borderId="19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24" xfId="0" applyBorder="1" applyAlignment="1">
      <alignment vertical="top"/>
    </xf>
    <xf numFmtId="0" fontId="1" fillId="0" borderId="12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33" fillId="0" borderId="11" xfId="0" applyFont="1" applyBorder="1" applyAlignment="1">
      <alignment horizontal="left" vertical="top"/>
    </xf>
    <xf numFmtId="0" fontId="33" fillId="0" borderId="14" xfId="0" applyFont="1" applyBorder="1" applyAlignment="1">
      <alignment horizontal="left" vertical="top"/>
    </xf>
    <xf numFmtId="49" fontId="1" fillId="0" borderId="12" xfId="0" applyNumberFormat="1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49" fontId="1" fillId="0" borderId="11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 vertical="top" wrapText="1"/>
    </xf>
    <xf numFmtId="0" fontId="35" fillId="0" borderId="12" xfId="0" applyFont="1" applyBorder="1" applyAlignment="1">
      <alignment horizontal="left" vertical="top" wrapText="1"/>
    </xf>
    <xf numFmtId="49" fontId="57" fillId="0" borderId="10" xfId="0" applyNumberFormat="1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49" fontId="56" fillId="0" borderId="10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41" fillId="0" borderId="12" xfId="0" applyNumberFormat="1" applyFont="1" applyBorder="1" applyAlignment="1">
      <alignment horizontal="left" vertical="top" wrapText="1"/>
    </xf>
    <xf numFmtId="0" fontId="33" fillId="0" borderId="11" xfId="0" applyFont="1" applyBorder="1" applyAlignment="1">
      <alignment horizontal="left" vertical="top" wrapText="1"/>
    </xf>
    <xf numFmtId="0" fontId="33" fillId="0" borderId="14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4" fontId="57" fillId="0" borderId="10" xfId="0" applyNumberFormat="1" applyFont="1" applyBorder="1" applyAlignment="1">
      <alignment horizontal="left" vertical="top" wrapText="1"/>
    </xf>
    <xf numFmtId="4" fontId="56" fillId="0" borderId="10" xfId="0" applyNumberFormat="1" applyFont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7"/>
  <sheetViews>
    <sheetView view="pageLayout" zoomScale="120" zoomScalePageLayoutView="120" workbookViewId="0" topLeftCell="A3">
      <selection activeCell="A1" sqref="A1:IV16384"/>
    </sheetView>
  </sheetViews>
  <sheetFormatPr defaultColWidth="11.7109375" defaultRowHeight="12.75"/>
  <cols>
    <col min="1" max="1" width="3.140625" style="1" customWidth="1"/>
    <col min="2" max="2" width="4.28125" style="1" customWidth="1"/>
    <col min="3" max="3" width="3.57421875" style="1" customWidth="1"/>
    <col min="4" max="4" width="17.28125" style="2" customWidth="1"/>
    <col min="5" max="5" width="8.8515625" style="3" customWidth="1"/>
    <col min="6" max="6" width="10.7109375" style="3" customWidth="1"/>
    <col min="7" max="7" width="10.140625" style="3" customWidth="1"/>
    <col min="8" max="8" width="10.7109375" style="3" customWidth="1"/>
    <col min="9" max="9" width="4.8515625" style="3" customWidth="1"/>
    <col min="10" max="11" width="10.00390625" style="3" customWidth="1"/>
    <col min="12" max="12" width="6.7109375" style="3" customWidth="1"/>
    <col min="13" max="13" width="7.140625" style="3" customWidth="1"/>
    <col min="14" max="14" width="6.28125" style="3" customWidth="1"/>
    <col min="15" max="16384" width="11.7109375" style="2" customWidth="1"/>
  </cols>
  <sheetData>
    <row r="1" spans="1:14" ht="36.75" customHeight="1" hidden="1">
      <c r="A1" s="265" t="s">
        <v>85</v>
      </c>
      <c r="B1" s="265" t="s">
        <v>84</v>
      </c>
      <c r="C1" s="256" t="s">
        <v>0</v>
      </c>
      <c r="D1" s="237" t="s">
        <v>1</v>
      </c>
      <c r="E1" s="253"/>
      <c r="F1" s="258"/>
      <c r="G1" s="259"/>
      <c r="H1" s="259"/>
      <c r="I1" s="259"/>
      <c r="J1" s="259"/>
      <c r="K1" s="259"/>
      <c r="L1" s="259"/>
      <c r="M1" s="259"/>
      <c r="N1" s="260"/>
    </row>
    <row r="2" spans="1:14" ht="24" customHeight="1" hidden="1">
      <c r="A2" s="256"/>
      <c r="B2" s="256"/>
      <c r="C2" s="257"/>
      <c r="D2" s="255"/>
      <c r="E2" s="253"/>
      <c r="F2" s="261"/>
      <c r="G2" s="262"/>
      <c r="H2" s="262"/>
      <c r="I2" s="262"/>
      <c r="J2" s="262"/>
      <c r="K2" s="262"/>
      <c r="L2" s="262"/>
      <c r="M2" s="262"/>
      <c r="N2" s="263"/>
    </row>
    <row r="3" spans="1:14" ht="19.5">
      <c r="A3" s="256"/>
      <c r="B3" s="256"/>
      <c r="C3" s="257"/>
      <c r="D3" s="255"/>
      <c r="E3" s="253" t="s">
        <v>392</v>
      </c>
      <c r="F3" s="253" t="s">
        <v>393</v>
      </c>
      <c r="G3" s="253" t="s">
        <v>394</v>
      </c>
      <c r="H3" s="253" t="s">
        <v>395</v>
      </c>
      <c r="I3" s="193" t="s">
        <v>420</v>
      </c>
      <c r="J3" s="264" t="s">
        <v>396</v>
      </c>
      <c r="K3" s="264" t="s">
        <v>397</v>
      </c>
      <c r="L3" s="264" t="s">
        <v>398</v>
      </c>
      <c r="M3" s="253" t="s">
        <v>421</v>
      </c>
      <c r="N3" s="253" t="s">
        <v>83</v>
      </c>
    </row>
    <row r="4" spans="1:14" ht="12.75">
      <c r="A4" s="256"/>
      <c r="B4" s="256"/>
      <c r="C4" s="257"/>
      <c r="D4" s="255"/>
      <c r="E4" s="254"/>
      <c r="F4" s="253"/>
      <c r="G4" s="253"/>
      <c r="H4" s="254"/>
      <c r="I4" s="194" t="s">
        <v>418</v>
      </c>
      <c r="J4" s="241"/>
      <c r="K4" s="241"/>
      <c r="L4" s="241"/>
      <c r="M4" s="254"/>
      <c r="N4" s="254"/>
    </row>
    <row r="5" spans="1:14" ht="21" customHeight="1">
      <c r="A5" s="256"/>
      <c r="B5" s="256"/>
      <c r="C5" s="257"/>
      <c r="D5" s="255"/>
      <c r="E5" s="254"/>
      <c r="F5" s="253"/>
      <c r="G5" s="253"/>
      <c r="H5" s="254"/>
      <c r="I5" s="195" t="s">
        <v>419</v>
      </c>
      <c r="J5" s="242"/>
      <c r="K5" s="242"/>
      <c r="L5" s="242"/>
      <c r="M5" s="254"/>
      <c r="N5" s="254"/>
    </row>
    <row r="6" spans="1:14" s="34" customFormat="1" ht="12.75">
      <c r="A6" s="32">
        <v>1</v>
      </c>
      <c r="B6" s="32">
        <v>2</v>
      </c>
      <c r="C6" s="32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33">
        <v>14</v>
      </c>
    </row>
    <row r="7" spans="1:14" ht="28.5" customHeight="1">
      <c r="A7" s="266" t="s">
        <v>87</v>
      </c>
      <c r="B7" s="197"/>
      <c r="C7" s="5"/>
      <c r="D7" s="7" t="s">
        <v>5</v>
      </c>
      <c r="E7" s="8">
        <f aca="true" t="shared" si="0" ref="E7:K7">E8+E14</f>
        <v>730909.59</v>
      </c>
      <c r="F7" s="8">
        <f t="shared" si="0"/>
        <v>933767.3</v>
      </c>
      <c r="G7" s="8">
        <f t="shared" si="0"/>
        <v>456245.73</v>
      </c>
      <c r="H7" s="8">
        <f t="shared" si="0"/>
        <v>404205.94</v>
      </c>
      <c r="I7" s="57">
        <f>H7/G7*100</f>
        <v>88.59391188165202</v>
      </c>
      <c r="J7" s="8">
        <f t="shared" si="0"/>
        <v>653765.44</v>
      </c>
      <c r="K7" s="8">
        <f t="shared" si="0"/>
        <v>658265.44</v>
      </c>
      <c r="L7" s="8">
        <f>K7/J7*100</f>
        <v>100.68832026361014</v>
      </c>
      <c r="M7" s="57">
        <f>(H7/G7)*100</f>
        <v>88.59391188165202</v>
      </c>
      <c r="N7" s="57">
        <f>(H7/E7)*100</f>
        <v>55.301769949413305</v>
      </c>
    </row>
    <row r="8" spans="1:14" ht="33" customHeight="1">
      <c r="A8" s="267"/>
      <c r="B8" s="243" t="s">
        <v>88</v>
      </c>
      <c r="C8" s="5"/>
      <c r="D8" s="7" t="s">
        <v>422</v>
      </c>
      <c r="E8" s="8">
        <f aca="true" t="shared" si="1" ref="E8:K8">E11+E9+E12+E10+E13</f>
        <v>31417.24</v>
      </c>
      <c r="F8" s="8">
        <f t="shared" si="1"/>
        <v>925767.3</v>
      </c>
      <c r="G8" s="8">
        <f t="shared" si="1"/>
        <v>62105</v>
      </c>
      <c r="H8" s="8">
        <f t="shared" si="1"/>
        <v>12105</v>
      </c>
      <c r="I8" s="57">
        <f aca="true" t="shared" si="2" ref="I8:I71">H8/G8*100</f>
        <v>19.49118428467917</v>
      </c>
      <c r="J8" s="8">
        <f t="shared" si="1"/>
        <v>18000</v>
      </c>
      <c r="K8" s="8">
        <f t="shared" si="1"/>
        <v>20000</v>
      </c>
      <c r="L8" s="8">
        <f aca="true" t="shared" si="3" ref="L8:L76">K8/J8*100</f>
        <v>111.11111111111111</v>
      </c>
      <c r="M8" s="57">
        <f>(H8/G8)*100</f>
        <v>19.49118428467917</v>
      </c>
      <c r="N8" s="57"/>
    </row>
    <row r="9" spans="1:14" ht="45.75" customHeight="1">
      <c r="A9" s="267"/>
      <c r="B9" s="244"/>
      <c r="C9" s="6" t="s">
        <v>142</v>
      </c>
      <c r="D9" s="196" t="s">
        <v>143</v>
      </c>
      <c r="E9" s="4">
        <v>30110.24</v>
      </c>
      <c r="F9" s="4">
        <v>50000</v>
      </c>
      <c r="G9" s="4">
        <v>50000</v>
      </c>
      <c r="H9" s="4"/>
      <c r="I9" s="57">
        <f t="shared" si="2"/>
        <v>0</v>
      </c>
      <c r="J9" s="4">
        <v>5000</v>
      </c>
      <c r="K9" s="4">
        <v>5000</v>
      </c>
      <c r="L9" s="8">
        <f t="shared" si="3"/>
        <v>100</v>
      </c>
      <c r="M9" s="58">
        <f>(H9/G9)*100</f>
        <v>0</v>
      </c>
      <c r="N9" s="58"/>
    </row>
    <row r="10" spans="1:14" ht="21.75" customHeight="1">
      <c r="A10" s="267"/>
      <c r="B10" s="244"/>
      <c r="C10" s="6" t="s">
        <v>325</v>
      </c>
      <c r="D10" s="196" t="s">
        <v>330</v>
      </c>
      <c r="E10" s="4">
        <v>1307</v>
      </c>
      <c r="F10" s="4">
        <v>1500</v>
      </c>
      <c r="G10" s="4">
        <v>12105</v>
      </c>
      <c r="H10" s="4">
        <v>12105</v>
      </c>
      <c r="I10" s="57">
        <f t="shared" si="2"/>
        <v>100</v>
      </c>
      <c r="J10" s="4">
        <v>13000</v>
      </c>
      <c r="K10" s="4">
        <v>15000</v>
      </c>
      <c r="L10" s="8">
        <f t="shared" si="3"/>
        <v>115.38461538461537</v>
      </c>
      <c r="M10" s="58"/>
      <c r="N10" s="58"/>
    </row>
    <row r="11" spans="1:14" ht="22.5" customHeight="1">
      <c r="A11" s="267"/>
      <c r="B11" s="244"/>
      <c r="C11" s="6" t="s">
        <v>90</v>
      </c>
      <c r="D11" s="9" t="s">
        <v>7</v>
      </c>
      <c r="E11" s="4"/>
      <c r="F11" s="4"/>
      <c r="G11" s="4"/>
      <c r="H11" s="4"/>
      <c r="I11" s="57" t="e">
        <f t="shared" si="2"/>
        <v>#DIV/0!</v>
      </c>
      <c r="J11" s="4"/>
      <c r="K11" s="4"/>
      <c r="L11" s="8" t="e">
        <f t="shared" si="3"/>
        <v>#DIV/0!</v>
      </c>
      <c r="M11" s="58" t="e">
        <f>(H11/G11)*100</f>
        <v>#DIV/0!</v>
      </c>
      <c r="N11" s="58"/>
    </row>
    <row r="12" spans="1:14" ht="72.75" customHeight="1">
      <c r="A12" s="267"/>
      <c r="B12" s="244"/>
      <c r="C12" s="6" t="s">
        <v>193</v>
      </c>
      <c r="D12" s="196" t="s">
        <v>145</v>
      </c>
      <c r="E12" s="4"/>
      <c r="F12" s="4">
        <v>705375</v>
      </c>
      <c r="G12" s="4"/>
      <c r="H12" s="4"/>
      <c r="I12" s="57" t="e">
        <f t="shared" si="2"/>
        <v>#DIV/0!</v>
      </c>
      <c r="J12" s="4"/>
      <c r="K12" s="4"/>
      <c r="L12" s="8" t="e">
        <f t="shared" si="3"/>
        <v>#DIV/0!</v>
      </c>
      <c r="M12" s="58" t="e">
        <f>(H12/G12)*100</f>
        <v>#DIV/0!</v>
      </c>
      <c r="N12" s="58"/>
    </row>
    <row r="13" spans="1:14" ht="73.5" customHeight="1">
      <c r="A13" s="267"/>
      <c r="B13" s="198"/>
      <c r="C13" s="61" t="s">
        <v>291</v>
      </c>
      <c r="D13" s="196" t="s">
        <v>304</v>
      </c>
      <c r="E13" s="4"/>
      <c r="F13" s="4">
        <v>168892.3</v>
      </c>
      <c r="G13" s="4"/>
      <c r="H13" s="4"/>
      <c r="I13" s="57" t="e">
        <f t="shared" si="2"/>
        <v>#DIV/0!</v>
      </c>
      <c r="J13" s="4"/>
      <c r="K13" s="4"/>
      <c r="L13" s="8" t="e">
        <f t="shared" si="3"/>
        <v>#DIV/0!</v>
      </c>
      <c r="M13" s="58" t="e">
        <f>(H13/G13)*100</f>
        <v>#DIV/0!</v>
      </c>
      <c r="N13" s="58"/>
    </row>
    <row r="14" spans="1:14" s="10" customFormat="1" ht="14.25" customHeight="1">
      <c r="A14" s="267"/>
      <c r="B14" s="243" t="s">
        <v>116</v>
      </c>
      <c r="C14" s="5"/>
      <c r="D14" s="7" t="s">
        <v>8</v>
      </c>
      <c r="E14" s="8">
        <f aca="true" t="shared" si="4" ref="E14:K14">E17+E16+E15</f>
        <v>699492.35</v>
      </c>
      <c r="F14" s="8">
        <f t="shared" si="4"/>
        <v>8000</v>
      </c>
      <c r="G14" s="8">
        <f t="shared" si="4"/>
        <v>394140.73</v>
      </c>
      <c r="H14" s="8">
        <f t="shared" si="4"/>
        <v>392100.94</v>
      </c>
      <c r="I14" s="57">
        <f t="shared" si="2"/>
        <v>99.48247165422362</v>
      </c>
      <c r="J14" s="8">
        <f t="shared" si="4"/>
        <v>635765.44</v>
      </c>
      <c r="K14" s="8">
        <f t="shared" si="4"/>
        <v>638265.44</v>
      </c>
      <c r="L14" s="8">
        <f t="shared" si="3"/>
        <v>100.39322678502312</v>
      </c>
      <c r="M14" s="57">
        <f>(H14/G14)*100</f>
        <v>99.48247165422362</v>
      </c>
      <c r="N14" s="57">
        <f>(H14/E14)*100</f>
        <v>56.05507193895688</v>
      </c>
    </row>
    <row r="15" spans="1:14" s="10" customFormat="1" ht="45">
      <c r="A15" s="267"/>
      <c r="B15" s="247"/>
      <c r="C15" s="6" t="s">
        <v>91</v>
      </c>
      <c r="D15" s="9" t="s">
        <v>423</v>
      </c>
      <c r="E15" s="4">
        <v>5968.01</v>
      </c>
      <c r="F15" s="4">
        <v>7000</v>
      </c>
      <c r="G15" s="4">
        <v>7000</v>
      </c>
      <c r="H15" s="4">
        <v>5960.21</v>
      </c>
      <c r="I15" s="57">
        <f t="shared" si="2"/>
        <v>85.14585714285714</v>
      </c>
      <c r="J15" s="4">
        <v>8000</v>
      </c>
      <c r="K15" s="4">
        <v>10000</v>
      </c>
      <c r="L15" s="8">
        <f t="shared" si="3"/>
        <v>125</v>
      </c>
      <c r="M15" s="58"/>
      <c r="N15" s="58"/>
    </row>
    <row r="16" spans="1:14" s="29" customFormat="1" ht="22.5">
      <c r="A16" s="267"/>
      <c r="B16" s="247"/>
      <c r="C16" s="6" t="s">
        <v>90</v>
      </c>
      <c r="D16" s="9" t="s">
        <v>303</v>
      </c>
      <c r="E16" s="4"/>
      <c r="F16" s="4">
        <v>1000</v>
      </c>
      <c r="G16" s="4">
        <v>1000</v>
      </c>
      <c r="H16" s="4"/>
      <c r="I16" s="57">
        <f t="shared" si="2"/>
        <v>0</v>
      </c>
      <c r="J16" s="4">
        <v>500</v>
      </c>
      <c r="K16" s="4">
        <v>1000</v>
      </c>
      <c r="L16" s="8">
        <f t="shared" si="3"/>
        <v>200</v>
      </c>
      <c r="M16" s="58"/>
      <c r="N16" s="58"/>
    </row>
    <row r="17" spans="1:14" ht="60.75" customHeight="1">
      <c r="A17" s="267"/>
      <c r="B17" s="245"/>
      <c r="C17" s="6" t="s">
        <v>117</v>
      </c>
      <c r="D17" s="9" t="str">
        <f>D54</f>
        <v>Dotacje celowe otrzymane z budżetu państwa na real. zadań bież. z zakresu adm. rządowej oraz innych zadań zleconych</v>
      </c>
      <c r="E17" s="4">
        <v>693524.34</v>
      </c>
      <c r="F17" s="4"/>
      <c r="G17" s="4">
        <v>386140.73</v>
      </c>
      <c r="H17" s="4">
        <v>386140.73</v>
      </c>
      <c r="I17" s="57">
        <f t="shared" si="2"/>
        <v>100</v>
      </c>
      <c r="J17" s="4">
        <v>627265.44</v>
      </c>
      <c r="K17" s="4">
        <v>627265.44</v>
      </c>
      <c r="L17" s="8">
        <f t="shared" si="3"/>
        <v>100</v>
      </c>
      <c r="M17" s="58">
        <f>(H17/G17)*100</f>
        <v>100</v>
      </c>
      <c r="N17" s="57">
        <f>(H17/E17)*100</f>
        <v>55.67803575574579</v>
      </c>
    </row>
    <row r="18" spans="1:14" ht="16.5" customHeight="1">
      <c r="A18" s="132" t="s">
        <v>412</v>
      </c>
      <c r="B18" s="191"/>
      <c r="C18" s="5"/>
      <c r="D18" s="7" t="s">
        <v>424</v>
      </c>
      <c r="E18" s="8"/>
      <c r="F18" s="8"/>
      <c r="G18" s="8">
        <f>SUM(G19)</f>
        <v>500</v>
      </c>
      <c r="H18" s="8">
        <f>SUM(H19)</f>
        <v>547.77</v>
      </c>
      <c r="I18" s="57">
        <f t="shared" si="2"/>
        <v>109.554</v>
      </c>
      <c r="J18" s="4"/>
      <c r="K18" s="4"/>
      <c r="L18" s="8"/>
      <c r="M18" s="58"/>
      <c r="N18" s="57"/>
    </row>
    <row r="19" spans="1:14" ht="16.5" customHeight="1">
      <c r="A19" s="190"/>
      <c r="B19" s="189">
        <v>2095</v>
      </c>
      <c r="C19" s="6" t="s">
        <v>411</v>
      </c>
      <c r="D19" s="9"/>
      <c r="E19" s="4"/>
      <c r="F19" s="4"/>
      <c r="G19" s="4">
        <v>500</v>
      </c>
      <c r="H19" s="4">
        <v>547.77</v>
      </c>
      <c r="I19" s="57">
        <f t="shared" si="2"/>
        <v>109.554</v>
      </c>
      <c r="J19" s="4">
        <v>600</v>
      </c>
      <c r="K19" s="4">
        <v>600</v>
      </c>
      <c r="L19" s="8"/>
      <c r="M19" s="58"/>
      <c r="N19" s="57"/>
    </row>
    <row r="20" spans="1:14" ht="21.75" customHeight="1">
      <c r="A20" s="238">
        <v>600</v>
      </c>
      <c r="B20" s="5"/>
      <c r="C20" s="6"/>
      <c r="D20" s="7" t="s">
        <v>9</v>
      </c>
      <c r="E20" s="8">
        <f aca="true" t="shared" si="5" ref="E20:K20">E21+E23</f>
        <v>335905.14</v>
      </c>
      <c r="F20" s="8">
        <f t="shared" si="5"/>
        <v>5622433.95</v>
      </c>
      <c r="G20" s="8">
        <f t="shared" si="5"/>
        <v>3615733</v>
      </c>
      <c r="H20" s="8">
        <f t="shared" si="5"/>
        <v>1676814.6400000001</v>
      </c>
      <c r="I20" s="57">
        <f t="shared" si="2"/>
        <v>46.37551058111869</v>
      </c>
      <c r="J20" s="8">
        <f t="shared" si="5"/>
        <v>3491733</v>
      </c>
      <c r="K20" s="8">
        <f t="shared" si="5"/>
        <v>42000</v>
      </c>
      <c r="L20" s="8">
        <f t="shared" si="3"/>
        <v>1.2028411107034815</v>
      </c>
      <c r="M20" s="57">
        <f>(H20/G20)*100</f>
        <v>46.37551058111869</v>
      </c>
      <c r="N20" s="57">
        <f>(H20/E20)*100</f>
        <v>499.1929090456908</v>
      </c>
    </row>
    <row r="21" spans="1:14" s="10" customFormat="1" ht="21">
      <c r="A21" s="239"/>
      <c r="B21" s="243">
        <v>60014</v>
      </c>
      <c r="C21" s="5"/>
      <c r="D21" s="7" t="s">
        <v>10</v>
      </c>
      <c r="E21" s="8">
        <f aca="true" t="shared" si="6" ref="E21:K21">E22</f>
        <v>68252.44</v>
      </c>
      <c r="F21" s="8">
        <f t="shared" si="6"/>
        <v>0</v>
      </c>
      <c r="G21" s="8">
        <f t="shared" si="6"/>
        <v>0</v>
      </c>
      <c r="H21" s="8">
        <f t="shared" si="6"/>
        <v>0</v>
      </c>
      <c r="I21" s="57" t="e">
        <f t="shared" si="2"/>
        <v>#DIV/0!</v>
      </c>
      <c r="J21" s="8">
        <f t="shared" si="6"/>
        <v>0</v>
      </c>
      <c r="K21" s="8">
        <f t="shared" si="6"/>
        <v>0</v>
      </c>
      <c r="L21" s="8" t="e">
        <f t="shared" si="3"/>
        <v>#DIV/0!</v>
      </c>
      <c r="M21" s="57" t="e">
        <f>(H21/G21)*100</f>
        <v>#DIV/0!</v>
      </c>
      <c r="N21" s="57">
        <f>(H21/E21)*100</f>
        <v>0</v>
      </c>
    </row>
    <row r="22" spans="1:14" ht="23.25" customHeight="1">
      <c r="A22" s="239"/>
      <c r="B22" s="244"/>
      <c r="C22" s="6">
        <v>2320</v>
      </c>
      <c r="D22" s="9" t="s">
        <v>86</v>
      </c>
      <c r="E22" s="4">
        <v>68252.44</v>
      </c>
      <c r="F22" s="4"/>
      <c r="G22" s="4"/>
      <c r="H22" s="4"/>
      <c r="I22" s="57" t="e">
        <f t="shared" si="2"/>
        <v>#DIV/0!</v>
      </c>
      <c r="J22" s="4">
        <v>0</v>
      </c>
      <c r="K22" s="4">
        <v>0</v>
      </c>
      <c r="L22" s="8" t="e">
        <f t="shared" si="3"/>
        <v>#DIV/0!</v>
      </c>
      <c r="M22" s="58" t="e">
        <f>(H22/G22)*100</f>
        <v>#DIV/0!</v>
      </c>
      <c r="N22" s="58">
        <f>(H22/E22)*100</f>
        <v>0</v>
      </c>
    </row>
    <row r="23" spans="1:14" s="10" customFormat="1" ht="15" customHeight="1">
      <c r="A23" s="239"/>
      <c r="B23" s="243">
        <v>60016</v>
      </c>
      <c r="C23" s="5"/>
      <c r="D23" s="204" t="s">
        <v>11</v>
      </c>
      <c r="E23" s="8">
        <f aca="true" t="shared" si="7" ref="E23:K23">E29+E24+E27+E30+E25+E26</f>
        <v>267652.7</v>
      </c>
      <c r="F23" s="8">
        <f>F29+F24+F27+F30+F25+F26+F28</f>
        <v>5622433.95</v>
      </c>
      <c r="G23" s="8">
        <f>G29+G24+G27+G30+G25+G26+G28</f>
        <v>3615733</v>
      </c>
      <c r="H23" s="8">
        <f t="shared" si="7"/>
        <v>1676814.6400000001</v>
      </c>
      <c r="I23" s="57">
        <f t="shared" si="2"/>
        <v>46.37551058111869</v>
      </c>
      <c r="J23" s="8">
        <f t="shared" si="7"/>
        <v>3491733</v>
      </c>
      <c r="K23" s="8">
        <f t="shared" si="7"/>
        <v>42000</v>
      </c>
      <c r="L23" s="8">
        <f t="shared" si="3"/>
        <v>1.2028411107034815</v>
      </c>
      <c r="M23" s="57">
        <f>(H23/G23)*100</f>
        <v>46.37551058111869</v>
      </c>
      <c r="N23" s="57"/>
    </row>
    <row r="24" spans="1:14" s="10" customFormat="1" ht="42">
      <c r="A24" s="239"/>
      <c r="B24" s="247"/>
      <c r="C24" s="61" t="s">
        <v>92</v>
      </c>
      <c r="D24" s="196" t="s">
        <v>14</v>
      </c>
      <c r="E24" s="4">
        <v>31537.1</v>
      </c>
      <c r="F24" s="4">
        <v>35000</v>
      </c>
      <c r="G24" s="4">
        <v>35000</v>
      </c>
      <c r="H24" s="4">
        <v>30591.5</v>
      </c>
      <c r="I24" s="57">
        <f t="shared" si="2"/>
        <v>87.4042857142857</v>
      </c>
      <c r="J24" s="4">
        <v>41000</v>
      </c>
      <c r="K24" s="4">
        <v>42000</v>
      </c>
      <c r="L24" s="8">
        <f t="shared" si="3"/>
        <v>102.4390243902439</v>
      </c>
      <c r="M24" s="4">
        <f>M30+M25+M29+M31+M26+M27</f>
        <v>108.48738278353672</v>
      </c>
      <c r="N24" s="58"/>
    </row>
    <row r="25" spans="1:14" s="10" customFormat="1" ht="22.5" customHeight="1">
      <c r="A25" s="239"/>
      <c r="B25" s="247"/>
      <c r="C25" s="61" t="s">
        <v>325</v>
      </c>
      <c r="D25" s="196" t="s">
        <v>330</v>
      </c>
      <c r="E25" s="4">
        <v>552.6</v>
      </c>
      <c r="F25" s="4">
        <v>1000</v>
      </c>
      <c r="G25" s="4">
        <v>1000</v>
      </c>
      <c r="H25" s="4"/>
      <c r="I25" s="57">
        <f t="shared" si="2"/>
        <v>0</v>
      </c>
      <c r="J25" s="4"/>
      <c r="K25" s="4"/>
      <c r="L25" s="8" t="e">
        <f t="shared" si="3"/>
        <v>#DIV/0!</v>
      </c>
      <c r="M25" s="4">
        <f>M31+M26+M30+M32+M27+M29</f>
        <v>54.24369139176836</v>
      </c>
      <c r="N25" s="58"/>
    </row>
    <row r="26" spans="1:14" s="10" customFormat="1" ht="34.5" customHeight="1">
      <c r="A26" s="239"/>
      <c r="B26" s="247"/>
      <c r="C26" s="61" t="s">
        <v>94</v>
      </c>
      <c r="D26" s="196" t="s">
        <v>331</v>
      </c>
      <c r="E26" s="4">
        <v>15000</v>
      </c>
      <c r="F26" s="4">
        <v>18000</v>
      </c>
      <c r="G26" s="4">
        <v>18000</v>
      </c>
      <c r="H26" s="4"/>
      <c r="I26" s="57">
        <f t="shared" si="2"/>
        <v>0</v>
      </c>
      <c r="J26" s="4">
        <v>1000</v>
      </c>
      <c r="K26" s="4"/>
      <c r="L26" s="8">
        <f t="shared" si="3"/>
        <v>0</v>
      </c>
      <c r="M26" s="58"/>
      <c r="N26" s="58"/>
    </row>
    <row r="27" spans="1:14" s="10" customFormat="1" ht="22.5">
      <c r="A27" s="239"/>
      <c r="B27" s="247"/>
      <c r="C27" s="61" t="s">
        <v>112</v>
      </c>
      <c r="D27" s="196" t="s">
        <v>86</v>
      </c>
      <c r="E27" s="4"/>
      <c r="F27" s="4"/>
      <c r="G27" s="4"/>
      <c r="H27" s="4"/>
      <c r="I27" s="57" t="e">
        <f t="shared" si="2"/>
        <v>#DIV/0!</v>
      </c>
      <c r="J27" s="4"/>
      <c r="K27" s="4"/>
      <c r="L27" s="8" t="e">
        <f t="shared" si="3"/>
        <v>#DIV/0!</v>
      </c>
      <c r="M27" s="58"/>
      <c r="N27" s="58"/>
    </row>
    <row r="28" spans="1:14" s="10" customFormat="1" ht="75" customHeight="1">
      <c r="A28" s="239"/>
      <c r="B28" s="247"/>
      <c r="C28" s="61" t="s">
        <v>405</v>
      </c>
      <c r="D28" s="196" t="s">
        <v>406</v>
      </c>
      <c r="E28" s="4"/>
      <c r="F28" s="4">
        <v>30000</v>
      </c>
      <c r="G28" s="4">
        <v>110000</v>
      </c>
      <c r="H28" s="4"/>
      <c r="I28" s="57">
        <f t="shared" si="2"/>
        <v>0</v>
      </c>
      <c r="J28" s="207">
        <v>110000</v>
      </c>
      <c r="K28" s="4"/>
      <c r="L28" s="8"/>
      <c r="M28" s="58"/>
      <c r="N28" s="58"/>
    </row>
    <row r="29" spans="1:14" s="127" customFormat="1" ht="78.75" customHeight="1">
      <c r="A29" s="241"/>
      <c r="B29" s="244"/>
      <c r="C29" s="61" t="s">
        <v>193</v>
      </c>
      <c r="D29" s="9" t="s">
        <v>145</v>
      </c>
      <c r="E29" s="4">
        <v>220563</v>
      </c>
      <c r="F29" s="4">
        <v>3724431</v>
      </c>
      <c r="G29" s="4">
        <v>1273869</v>
      </c>
      <c r="H29" s="4">
        <v>1271869</v>
      </c>
      <c r="I29" s="57">
        <f t="shared" si="2"/>
        <v>99.84299798487913</v>
      </c>
      <c r="J29" s="4">
        <v>1271869</v>
      </c>
      <c r="K29" s="4"/>
      <c r="L29" s="8">
        <f t="shared" si="3"/>
        <v>0</v>
      </c>
      <c r="M29" s="58"/>
      <c r="N29" s="58"/>
    </row>
    <row r="30" spans="1:14" s="127" customFormat="1" ht="79.5" customHeight="1">
      <c r="A30" s="242"/>
      <c r="B30" s="245"/>
      <c r="C30" s="61" t="s">
        <v>291</v>
      </c>
      <c r="D30" s="208" t="s">
        <v>304</v>
      </c>
      <c r="E30" s="4"/>
      <c r="F30" s="4">
        <v>1814002.95</v>
      </c>
      <c r="G30" s="4">
        <v>2177864</v>
      </c>
      <c r="H30" s="4">
        <v>374354.14</v>
      </c>
      <c r="I30" s="57">
        <f t="shared" si="2"/>
        <v>17.189050372291383</v>
      </c>
      <c r="J30" s="207">
        <v>2177864</v>
      </c>
      <c r="K30" s="4"/>
      <c r="L30" s="8">
        <f t="shared" si="3"/>
        <v>0</v>
      </c>
      <c r="M30" s="58"/>
      <c r="N30" s="58"/>
    </row>
    <row r="31" spans="1:14" ht="21" customHeight="1">
      <c r="A31" s="238">
        <v>700</v>
      </c>
      <c r="B31" s="5"/>
      <c r="C31" s="6"/>
      <c r="D31" s="7" t="s">
        <v>12</v>
      </c>
      <c r="E31" s="8">
        <f aca="true" t="shared" si="8" ref="E31:K31">E35+E32</f>
        <v>224690.09999999998</v>
      </c>
      <c r="F31" s="8">
        <f t="shared" si="8"/>
        <v>866326</v>
      </c>
      <c r="G31" s="8">
        <f t="shared" si="8"/>
        <v>1238853.28</v>
      </c>
      <c r="H31" s="8">
        <f t="shared" si="8"/>
        <v>671999.75</v>
      </c>
      <c r="I31" s="57">
        <f t="shared" si="2"/>
        <v>54.24369139176836</v>
      </c>
      <c r="J31" s="8">
        <f t="shared" si="8"/>
        <v>731980</v>
      </c>
      <c r="K31" s="8">
        <f t="shared" si="8"/>
        <v>401750</v>
      </c>
      <c r="L31" s="8">
        <f t="shared" si="3"/>
        <v>54.88537938195033</v>
      </c>
      <c r="M31" s="57">
        <f aca="true" t="shared" si="9" ref="M31:M54">(H31/G31)*100</f>
        <v>54.24369139176836</v>
      </c>
      <c r="N31" s="57">
        <f>(H31/E31)*100</f>
        <v>299.07848632405256</v>
      </c>
    </row>
    <row r="32" spans="1:14" ht="24" customHeight="1">
      <c r="A32" s="239"/>
      <c r="B32" s="243" t="s">
        <v>190</v>
      </c>
      <c r="C32" s="6"/>
      <c r="D32" s="7" t="s">
        <v>192</v>
      </c>
      <c r="E32" s="8">
        <f aca="true" t="shared" si="10" ref="E32:K32">E33+E34</f>
        <v>182.99</v>
      </c>
      <c r="F32" s="8">
        <f t="shared" si="10"/>
        <v>400</v>
      </c>
      <c r="G32" s="8">
        <f t="shared" si="10"/>
        <v>400</v>
      </c>
      <c r="H32" s="8">
        <f t="shared" si="10"/>
        <v>0</v>
      </c>
      <c r="I32" s="57">
        <f t="shared" si="2"/>
        <v>0</v>
      </c>
      <c r="J32" s="8">
        <f t="shared" si="10"/>
        <v>0</v>
      </c>
      <c r="K32" s="8">
        <f t="shared" si="10"/>
        <v>0</v>
      </c>
      <c r="L32" s="8" t="e">
        <f t="shared" si="3"/>
        <v>#DIV/0!</v>
      </c>
      <c r="M32" s="57">
        <f t="shared" si="9"/>
        <v>0</v>
      </c>
      <c r="N32" s="57">
        <f>(H32/E32)*100</f>
        <v>0</v>
      </c>
    </row>
    <row r="33" spans="1:14" ht="21.75" customHeight="1">
      <c r="A33" s="239"/>
      <c r="B33" s="247"/>
      <c r="C33" s="6" t="s">
        <v>91</v>
      </c>
      <c r="D33" s="9" t="s">
        <v>15</v>
      </c>
      <c r="E33" s="4">
        <v>182.99</v>
      </c>
      <c r="F33" s="4">
        <v>300</v>
      </c>
      <c r="G33" s="4">
        <v>300</v>
      </c>
      <c r="H33" s="4">
        <v>0</v>
      </c>
      <c r="I33" s="57">
        <f t="shared" si="2"/>
        <v>0</v>
      </c>
      <c r="J33" s="4"/>
      <c r="K33" s="4"/>
      <c r="L33" s="8" t="e">
        <f t="shared" si="3"/>
        <v>#DIV/0!</v>
      </c>
      <c r="M33" s="58">
        <f t="shared" si="9"/>
        <v>0</v>
      </c>
      <c r="N33" s="58">
        <f>(H33/E33)*100</f>
        <v>0</v>
      </c>
    </row>
    <row r="34" spans="1:14" ht="22.5">
      <c r="A34" s="239"/>
      <c r="B34" s="245"/>
      <c r="C34" s="6" t="s">
        <v>90</v>
      </c>
      <c r="D34" s="9" t="s">
        <v>194</v>
      </c>
      <c r="E34" s="4"/>
      <c r="F34" s="4">
        <v>100</v>
      </c>
      <c r="G34" s="4">
        <v>100</v>
      </c>
      <c r="H34" s="4"/>
      <c r="I34" s="57">
        <f t="shared" si="2"/>
        <v>0</v>
      </c>
      <c r="J34" s="4"/>
      <c r="K34" s="4"/>
      <c r="L34" s="8" t="e">
        <f t="shared" si="3"/>
        <v>#DIV/0!</v>
      </c>
      <c r="M34" s="58">
        <f t="shared" si="9"/>
        <v>0</v>
      </c>
      <c r="N34" s="58"/>
    </row>
    <row r="35" spans="1:14" ht="22.5" customHeight="1">
      <c r="A35" s="239"/>
      <c r="B35" s="243">
        <v>70005</v>
      </c>
      <c r="C35" s="6"/>
      <c r="D35" s="7" t="s">
        <v>13</v>
      </c>
      <c r="E35" s="8">
        <f>E39+E43+E45+E41+E513+E47+E38+E40+E36+E46+E48+E37+E42</f>
        <v>224507.11</v>
      </c>
      <c r="F35" s="8">
        <f>F39+F43+F45+F41+F513+F47+F38+F40+F36+F46+F48+F37+F42</f>
        <v>865926</v>
      </c>
      <c r="G35" s="8">
        <f>G39+G43+G45+G41+G513+G47+G38+G40+G36+G46+G48+G37+G42+G44</f>
        <v>1238453.28</v>
      </c>
      <c r="H35" s="8">
        <f>H39+H43+H45+H41+H513+H47+H38+H40+H36+H46+H48+H37+H42+H44</f>
        <v>671999.75</v>
      </c>
      <c r="I35" s="57">
        <f t="shared" si="2"/>
        <v>54.261211210163694</v>
      </c>
      <c r="J35" s="8">
        <f>J39+J43+J45+J41+J513+J47+J38+J40+J36+J46+J48+J37+J42</f>
        <v>731980</v>
      </c>
      <c r="K35" s="8">
        <f>K39+K43+K45+K41+K513+K47+K38+K40+K36+K46+K48+K37+K42</f>
        <v>401750</v>
      </c>
      <c r="L35" s="8">
        <f t="shared" si="3"/>
        <v>54.88537938195033</v>
      </c>
      <c r="M35" s="57">
        <f t="shared" si="9"/>
        <v>54.261211210163694</v>
      </c>
      <c r="N35" s="57">
        <f>(H35/E35)*100</f>
        <v>299.3222575445384</v>
      </c>
    </row>
    <row r="36" spans="1:14" ht="36" customHeight="1">
      <c r="A36" s="239"/>
      <c r="B36" s="268"/>
      <c r="C36" s="6" t="s">
        <v>288</v>
      </c>
      <c r="D36" s="9" t="s">
        <v>289</v>
      </c>
      <c r="E36" s="4">
        <v>49308.56</v>
      </c>
      <c r="F36" s="4">
        <v>55000</v>
      </c>
      <c r="G36" s="4">
        <v>55000</v>
      </c>
      <c r="H36" s="4">
        <v>46269.64</v>
      </c>
      <c r="I36" s="57">
        <f t="shared" si="2"/>
        <v>84.12661818181817</v>
      </c>
      <c r="J36" s="4">
        <v>55000</v>
      </c>
      <c r="K36" s="4">
        <v>60000</v>
      </c>
      <c r="L36" s="8">
        <f t="shared" si="3"/>
        <v>109.09090909090908</v>
      </c>
      <c r="M36" s="58">
        <f t="shared" si="9"/>
        <v>84.12661818181817</v>
      </c>
      <c r="N36" s="58">
        <f>(H36/E36)*100</f>
        <v>93.83693216755874</v>
      </c>
    </row>
    <row r="37" spans="1:14" ht="36" customHeight="1">
      <c r="A37" s="239"/>
      <c r="B37" s="268"/>
      <c r="C37" s="6" t="s">
        <v>323</v>
      </c>
      <c r="D37" s="9" t="s">
        <v>333</v>
      </c>
      <c r="E37" s="4">
        <v>176.9</v>
      </c>
      <c r="F37" s="4">
        <v>200</v>
      </c>
      <c r="G37" s="4">
        <v>200</v>
      </c>
      <c r="H37" s="4">
        <v>166.5</v>
      </c>
      <c r="I37" s="57">
        <f t="shared" si="2"/>
        <v>83.25</v>
      </c>
      <c r="J37" s="4">
        <v>200</v>
      </c>
      <c r="K37" s="4">
        <v>250</v>
      </c>
      <c r="L37" s="8">
        <f t="shared" si="3"/>
        <v>125</v>
      </c>
      <c r="M37" s="58">
        <f t="shared" si="9"/>
        <v>83.25</v>
      </c>
      <c r="N37" s="58"/>
    </row>
    <row r="38" spans="1:14" ht="12.75" customHeight="1">
      <c r="A38" s="239"/>
      <c r="B38" s="268"/>
      <c r="C38" s="6" t="s">
        <v>95</v>
      </c>
      <c r="D38" s="9" t="s">
        <v>38</v>
      </c>
      <c r="E38" s="4"/>
      <c r="F38" s="4"/>
      <c r="G38" s="4"/>
      <c r="H38" s="4"/>
      <c r="I38" s="57" t="e">
        <f t="shared" si="2"/>
        <v>#DIV/0!</v>
      </c>
      <c r="J38" s="4"/>
      <c r="K38" s="4"/>
      <c r="L38" s="8" t="e">
        <f t="shared" si="3"/>
        <v>#DIV/0!</v>
      </c>
      <c r="M38" s="58" t="e">
        <f t="shared" si="9"/>
        <v>#DIV/0!</v>
      </c>
      <c r="N38" s="58"/>
    </row>
    <row r="39" spans="1:14" ht="25.5" customHeight="1">
      <c r="A39" s="239"/>
      <c r="B39" s="268"/>
      <c r="C39" s="6" t="s">
        <v>91</v>
      </c>
      <c r="D39" s="9" t="s">
        <v>15</v>
      </c>
      <c r="E39" s="4">
        <v>115660.67</v>
      </c>
      <c r="F39" s="4">
        <v>125000</v>
      </c>
      <c r="G39" s="4">
        <v>125000</v>
      </c>
      <c r="H39" s="4">
        <v>80983.9</v>
      </c>
      <c r="I39" s="57">
        <f t="shared" si="2"/>
        <v>64.78712</v>
      </c>
      <c r="J39" s="4">
        <v>100000</v>
      </c>
      <c r="K39" s="4">
        <v>120000</v>
      </c>
      <c r="L39" s="8">
        <f t="shared" si="3"/>
        <v>120</v>
      </c>
      <c r="M39" s="58">
        <f t="shared" si="9"/>
        <v>64.78712</v>
      </c>
      <c r="N39" s="58">
        <f>(H39/E39)*100</f>
        <v>70.01852920270996</v>
      </c>
    </row>
    <row r="40" spans="1:14" ht="56.25" customHeight="1">
      <c r="A40" s="239"/>
      <c r="B40" s="268"/>
      <c r="C40" s="6" t="s">
        <v>258</v>
      </c>
      <c r="D40" s="9" t="s">
        <v>259</v>
      </c>
      <c r="E40" s="4"/>
      <c r="F40" s="4">
        <v>1000</v>
      </c>
      <c r="G40" s="4">
        <v>1000</v>
      </c>
      <c r="H40" s="4"/>
      <c r="I40" s="57">
        <f t="shared" si="2"/>
        <v>0</v>
      </c>
      <c r="J40" s="4">
        <v>300</v>
      </c>
      <c r="K40" s="4">
        <v>500</v>
      </c>
      <c r="L40" s="8">
        <f t="shared" si="3"/>
        <v>166.66666666666669</v>
      </c>
      <c r="M40" s="58">
        <f t="shared" si="9"/>
        <v>0</v>
      </c>
      <c r="N40" s="58"/>
    </row>
    <row r="41" spans="1:14" ht="42" customHeight="1">
      <c r="A41" s="239"/>
      <c r="B41" s="268"/>
      <c r="C41" s="6" t="s">
        <v>142</v>
      </c>
      <c r="D41" s="9" t="s">
        <v>143</v>
      </c>
      <c r="E41" s="4">
        <v>42393.48</v>
      </c>
      <c r="F41" s="4">
        <v>550000</v>
      </c>
      <c r="G41" s="4">
        <v>838155.28</v>
      </c>
      <c r="H41" s="4">
        <v>438398.3</v>
      </c>
      <c r="I41" s="57">
        <f t="shared" si="2"/>
        <v>52.30514088033902</v>
      </c>
      <c r="J41" s="4">
        <v>470000</v>
      </c>
      <c r="K41" s="4">
        <v>200000</v>
      </c>
      <c r="L41" s="8">
        <f t="shared" si="3"/>
        <v>42.5531914893617</v>
      </c>
      <c r="M41" s="58">
        <f t="shared" si="9"/>
        <v>52.30514088033902</v>
      </c>
      <c r="N41" s="58">
        <f>(H41/E41)*100</f>
        <v>1034.1172746375148</v>
      </c>
    </row>
    <row r="42" spans="1:14" ht="25.5" customHeight="1">
      <c r="A42" s="239"/>
      <c r="B42" s="268"/>
      <c r="C42" s="6" t="s">
        <v>326</v>
      </c>
      <c r="D42" s="9" t="s">
        <v>334</v>
      </c>
      <c r="E42" s="4">
        <v>305</v>
      </c>
      <c r="F42" s="4">
        <v>1000</v>
      </c>
      <c r="G42" s="4">
        <v>1000</v>
      </c>
      <c r="H42" s="4"/>
      <c r="I42" s="57">
        <f t="shared" si="2"/>
        <v>0</v>
      </c>
      <c r="J42" s="4"/>
      <c r="K42" s="4"/>
      <c r="L42" s="8" t="e">
        <f t="shared" si="3"/>
        <v>#DIV/0!</v>
      </c>
      <c r="M42" s="58">
        <f t="shared" si="9"/>
        <v>0</v>
      </c>
      <c r="N42" s="58"/>
    </row>
    <row r="43" spans="1:14" ht="22.5">
      <c r="A43" s="239"/>
      <c r="B43" s="268"/>
      <c r="C43" s="6" t="s">
        <v>93</v>
      </c>
      <c r="D43" s="9" t="s">
        <v>16</v>
      </c>
      <c r="E43" s="4">
        <v>12785.54</v>
      </c>
      <c r="F43" s="4">
        <v>15000</v>
      </c>
      <c r="G43" s="4">
        <v>15000</v>
      </c>
      <c r="H43" s="4">
        <v>2580.17</v>
      </c>
      <c r="I43" s="57">
        <f t="shared" si="2"/>
        <v>17.201133333333335</v>
      </c>
      <c r="J43" s="4">
        <v>2800</v>
      </c>
      <c r="K43" s="4">
        <v>3000</v>
      </c>
      <c r="L43" s="8">
        <f t="shared" si="3"/>
        <v>107.14285714285714</v>
      </c>
      <c r="M43" s="58">
        <f t="shared" si="9"/>
        <v>17.201133333333335</v>
      </c>
      <c r="N43" s="58"/>
    </row>
    <row r="44" spans="1:14" ht="22.5">
      <c r="A44" s="239"/>
      <c r="B44" s="268"/>
      <c r="C44" s="6" t="s">
        <v>325</v>
      </c>
      <c r="D44" s="9"/>
      <c r="E44" s="4"/>
      <c r="F44" s="4"/>
      <c r="G44" s="4">
        <v>225</v>
      </c>
      <c r="H44" s="4">
        <v>225</v>
      </c>
      <c r="I44" s="57">
        <f t="shared" si="2"/>
        <v>100</v>
      </c>
      <c r="J44" s="4">
        <v>300</v>
      </c>
      <c r="K44" s="4">
        <v>400</v>
      </c>
      <c r="L44" s="8">
        <f t="shared" si="3"/>
        <v>133.33333333333331</v>
      </c>
      <c r="M44" s="58">
        <f t="shared" si="9"/>
        <v>100</v>
      </c>
      <c r="N44" s="58"/>
    </row>
    <row r="45" spans="1:14" ht="22.5">
      <c r="A45" s="239"/>
      <c r="B45" s="268"/>
      <c r="C45" s="6" t="s">
        <v>90</v>
      </c>
      <c r="D45" s="9" t="s">
        <v>7</v>
      </c>
      <c r="E45" s="4">
        <v>3876.96</v>
      </c>
      <c r="F45" s="4">
        <v>6000</v>
      </c>
      <c r="G45" s="4">
        <v>17193</v>
      </c>
      <c r="H45" s="4">
        <v>17696.24</v>
      </c>
      <c r="I45" s="57">
        <f t="shared" si="2"/>
        <v>102.92700517652533</v>
      </c>
      <c r="J45" s="4">
        <v>18000</v>
      </c>
      <c r="K45" s="4">
        <v>18000</v>
      </c>
      <c r="L45" s="8">
        <f t="shared" si="3"/>
        <v>100</v>
      </c>
      <c r="M45" s="58">
        <f t="shared" si="9"/>
        <v>102.92700517652533</v>
      </c>
      <c r="N45" s="58">
        <f>(H45/E45)*100</f>
        <v>456.44628781313196</v>
      </c>
    </row>
    <row r="46" spans="1:14" ht="68.25" customHeight="1">
      <c r="A46" s="239"/>
      <c r="B46" s="268"/>
      <c r="C46" s="6" t="s">
        <v>112</v>
      </c>
      <c r="D46" s="9" t="s">
        <v>305</v>
      </c>
      <c r="E46" s="4"/>
      <c r="F46" s="4"/>
      <c r="G46" s="4"/>
      <c r="H46" s="4"/>
      <c r="I46" s="57" t="e">
        <f t="shared" si="2"/>
        <v>#DIV/0!</v>
      </c>
      <c r="J46" s="4"/>
      <c r="K46" s="4"/>
      <c r="L46" s="8" t="e">
        <f t="shared" si="3"/>
        <v>#DIV/0!</v>
      </c>
      <c r="M46" s="58" t="e">
        <f t="shared" si="9"/>
        <v>#DIV/0!</v>
      </c>
      <c r="N46" s="58"/>
    </row>
    <row r="47" spans="1:14" ht="78" customHeight="1">
      <c r="A47" s="241"/>
      <c r="B47" s="244"/>
      <c r="C47" s="6" t="s">
        <v>193</v>
      </c>
      <c r="D47" s="9" t="s">
        <v>145</v>
      </c>
      <c r="E47" s="4"/>
      <c r="F47" s="4">
        <v>12726</v>
      </c>
      <c r="G47" s="4">
        <v>85680</v>
      </c>
      <c r="H47" s="4">
        <v>85680</v>
      </c>
      <c r="I47" s="57">
        <f t="shared" si="2"/>
        <v>100</v>
      </c>
      <c r="J47" s="4">
        <v>85680</v>
      </c>
      <c r="K47" s="4">
        <v>0</v>
      </c>
      <c r="L47" s="8">
        <f t="shared" si="3"/>
        <v>0</v>
      </c>
      <c r="M47" s="58">
        <f t="shared" si="9"/>
        <v>100</v>
      </c>
      <c r="N47" s="58"/>
    </row>
    <row r="48" spans="1:14" ht="76.5" customHeight="1">
      <c r="A48" s="242"/>
      <c r="B48" s="245"/>
      <c r="C48" s="6" t="s">
        <v>291</v>
      </c>
      <c r="D48" s="9" t="s">
        <v>304</v>
      </c>
      <c r="E48" s="4"/>
      <c r="F48" s="4">
        <v>100000</v>
      </c>
      <c r="G48" s="4">
        <v>100000</v>
      </c>
      <c r="H48" s="4"/>
      <c r="I48" s="57">
        <f t="shared" si="2"/>
        <v>0</v>
      </c>
      <c r="J48" s="4"/>
      <c r="K48" s="4"/>
      <c r="L48" s="8" t="e">
        <f t="shared" si="3"/>
        <v>#DIV/0!</v>
      </c>
      <c r="M48" s="58">
        <f t="shared" si="9"/>
        <v>0</v>
      </c>
      <c r="N48" s="58"/>
    </row>
    <row r="49" spans="1:14" s="10" customFormat="1" ht="26.25" customHeight="1">
      <c r="A49" s="265">
        <v>710</v>
      </c>
      <c r="B49" s="5"/>
      <c r="C49" s="5"/>
      <c r="D49" s="7" t="s">
        <v>18</v>
      </c>
      <c r="E49" s="8">
        <f aca="true" t="shared" si="11" ref="E49:K50">E50</f>
        <v>3300</v>
      </c>
      <c r="F49" s="8">
        <f t="shared" si="11"/>
        <v>3300</v>
      </c>
      <c r="G49" s="8">
        <f t="shared" si="11"/>
        <v>3900</v>
      </c>
      <c r="H49" s="8">
        <f t="shared" si="11"/>
        <v>3900</v>
      </c>
      <c r="I49" s="57">
        <f t="shared" si="2"/>
        <v>100</v>
      </c>
      <c r="J49" s="8">
        <f t="shared" si="11"/>
        <v>3900</v>
      </c>
      <c r="K49" s="8">
        <f t="shared" si="11"/>
        <v>4000</v>
      </c>
      <c r="L49" s="8">
        <f t="shared" si="3"/>
        <v>102.56410256410255</v>
      </c>
      <c r="M49" s="57">
        <f t="shared" si="9"/>
        <v>100</v>
      </c>
      <c r="N49" s="57">
        <f aca="true" t="shared" si="12" ref="N49:N54">(H49/E49)*100</f>
        <v>118.18181818181819</v>
      </c>
    </row>
    <row r="50" spans="1:14" s="10" customFormat="1" ht="15" customHeight="1">
      <c r="A50" s="265"/>
      <c r="B50" s="197" t="s">
        <v>118</v>
      </c>
      <c r="C50" s="5"/>
      <c r="D50" s="7" t="s">
        <v>123</v>
      </c>
      <c r="E50" s="8">
        <f t="shared" si="11"/>
        <v>3300</v>
      </c>
      <c r="F50" s="8">
        <f t="shared" si="11"/>
        <v>3300</v>
      </c>
      <c r="G50" s="8">
        <f t="shared" si="11"/>
        <v>3900</v>
      </c>
      <c r="H50" s="8">
        <f t="shared" si="11"/>
        <v>3900</v>
      </c>
      <c r="I50" s="57">
        <f t="shared" si="2"/>
        <v>100</v>
      </c>
      <c r="J50" s="8">
        <f t="shared" si="11"/>
        <v>3900</v>
      </c>
      <c r="K50" s="8">
        <f t="shared" si="11"/>
        <v>4000</v>
      </c>
      <c r="L50" s="8">
        <f t="shared" si="3"/>
        <v>102.56410256410255</v>
      </c>
      <c r="M50" s="57">
        <f t="shared" si="9"/>
        <v>100</v>
      </c>
      <c r="N50" s="57">
        <f t="shared" si="12"/>
        <v>118.18181818181819</v>
      </c>
    </row>
    <row r="51" spans="1:14" ht="57.75" customHeight="1">
      <c r="A51" s="270"/>
      <c r="B51" s="197"/>
      <c r="C51" s="6" t="s">
        <v>119</v>
      </c>
      <c r="D51" s="9" t="s">
        <v>124</v>
      </c>
      <c r="E51" s="4">
        <v>3300</v>
      </c>
      <c r="F51" s="56">
        <v>3300</v>
      </c>
      <c r="G51" s="4">
        <v>3900</v>
      </c>
      <c r="H51" s="4">
        <v>3900</v>
      </c>
      <c r="I51" s="57">
        <f t="shared" si="2"/>
        <v>100</v>
      </c>
      <c r="J51" s="4">
        <v>3900</v>
      </c>
      <c r="K51" s="207">
        <v>4000</v>
      </c>
      <c r="L51" s="8">
        <f t="shared" si="3"/>
        <v>102.56410256410255</v>
      </c>
      <c r="M51" s="58">
        <f t="shared" si="9"/>
        <v>100</v>
      </c>
      <c r="N51" s="58">
        <f t="shared" si="12"/>
        <v>118.18181818181819</v>
      </c>
    </row>
    <row r="52" spans="1:14" ht="26.25" customHeight="1">
      <c r="A52" s="238">
        <v>750</v>
      </c>
      <c r="B52" s="197"/>
      <c r="C52" s="6"/>
      <c r="D52" s="7" t="s">
        <v>21</v>
      </c>
      <c r="E52" s="8">
        <f aca="true" t="shared" si="13" ref="E52:K52">E53+E56+E71+E66+E68</f>
        <v>85455.15</v>
      </c>
      <c r="F52" s="8">
        <f t="shared" si="13"/>
        <v>59123</v>
      </c>
      <c r="G52" s="8">
        <f t="shared" si="13"/>
        <v>59578</v>
      </c>
      <c r="H52" s="8">
        <f>H53+H56+H71+H66+H68</f>
        <v>44569.98</v>
      </c>
      <c r="I52" s="57">
        <f t="shared" si="2"/>
        <v>74.80945986773642</v>
      </c>
      <c r="J52" s="8">
        <f t="shared" si="13"/>
        <v>60856</v>
      </c>
      <c r="K52" s="8">
        <f t="shared" si="13"/>
        <v>54400</v>
      </c>
      <c r="L52" s="8">
        <f t="shared" si="3"/>
        <v>89.39135007230182</v>
      </c>
      <c r="M52" s="57">
        <f t="shared" si="9"/>
        <v>74.80945986773642</v>
      </c>
      <c r="N52" s="57">
        <f t="shared" si="12"/>
        <v>52.15599059857715</v>
      </c>
    </row>
    <row r="53" spans="1:14" ht="15" customHeight="1">
      <c r="A53" s="239"/>
      <c r="B53" s="243">
        <v>75011</v>
      </c>
      <c r="C53" s="6"/>
      <c r="D53" s="7" t="s">
        <v>22</v>
      </c>
      <c r="E53" s="8">
        <f aca="true" t="shared" si="14" ref="E53:K53">E54+E55</f>
        <v>64688</v>
      </c>
      <c r="F53" s="8">
        <f t="shared" si="14"/>
        <v>46313</v>
      </c>
      <c r="G53" s="8">
        <f t="shared" si="14"/>
        <v>46551</v>
      </c>
      <c r="H53" s="8">
        <f t="shared" si="14"/>
        <v>37560</v>
      </c>
      <c r="I53" s="57">
        <f t="shared" si="2"/>
        <v>80.68569955532642</v>
      </c>
      <c r="J53" s="8">
        <f t="shared" si="14"/>
        <v>51751</v>
      </c>
      <c r="K53" s="8">
        <f t="shared" si="14"/>
        <v>44655</v>
      </c>
      <c r="L53" s="8">
        <f t="shared" si="3"/>
        <v>86.28818766787116</v>
      </c>
      <c r="M53" s="57">
        <f t="shared" si="9"/>
        <v>80.68569955532642</v>
      </c>
      <c r="N53" s="57">
        <f t="shared" si="12"/>
        <v>58.06331931733861</v>
      </c>
    </row>
    <row r="54" spans="1:14" ht="54.75" customHeight="1">
      <c r="A54" s="239"/>
      <c r="B54" s="247"/>
      <c r="C54" s="6">
        <v>2010</v>
      </c>
      <c r="D54" s="9" t="s">
        <v>23</v>
      </c>
      <c r="E54" s="4">
        <v>64688</v>
      </c>
      <c r="F54" s="4">
        <v>46313</v>
      </c>
      <c r="G54" s="4">
        <v>46551</v>
      </c>
      <c r="H54" s="4">
        <v>37560</v>
      </c>
      <c r="I54" s="57">
        <f t="shared" si="2"/>
        <v>80.68569955532642</v>
      </c>
      <c r="J54" s="4">
        <v>51751</v>
      </c>
      <c r="K54" s="207">
        <v>44655</v>
      </c>
      <c r="L54" s="8">
        <f t="shared" si="3"/>
        <v>86.28818766787116</v>
      </c>
      <c r="M54" s="58">
        <f t="shared" si="9"/>
        <v>80.68569955532642</v>
      </c>
      <c r="N54" s="58">
        <f t="shared" si="12"/>
        <v>58.06331931733861</v>
      </c>
    </row>
    <row r="55" spans="1:14" ht="56.25">
      <c r="A55" s="239"/>
      <c r="B55" s="245"/>
      <c r="C55" s="6" t="s">
        <v>158</v>
      </c>
      <c r="D55" s="9" t="s">
        <v>125</v>
      </c>
      <c r="E55" s="4"/>
      <c r="F55" s="4"/>
      <c r="G55" s="4"/>
      <c r="H55" s="4"/>
      <c r="I55" s="57" t="e">
        <f t="shared" si="2"/>
        <v>#DIV/0!</v>
      </c>
      <c r="J55" s="4"/>
      <c r="K55" s="4"/>
      <c r="L55" s="8" t="e">
        <f t="shared" si="3"/>
        <v>#DIV/0!</v>
      </c>
      <c r="M55" s="58"/>
      <c r="N55" s="58"/>
    </row>
    <row r="56" spans="1:14" ht="31.5">
      <c r="A56" s="239"/>
      <c r="B56" s="243">
        <v>75023</v>
      </c>
      <c r="C56" s="6"/>
      <c r="D56" s="7" t="s">
        <v>24</v>
      </c>
      <c r="E56" s="8">
        <f aca="true" t="shared" si="15" ref="E56:K56">E59+E62+E64+E65+E63+E61+E58+E60</f>
        <v>10276.609999999999</v>
      </c>
      <c r="F56" s="8">
        <f t="shared" si="15"/>
        <v>12600</v>
      </c>
      <c r="G56" s="8">
        <f>G59+G62+G64+G65+G63+G61+G58+G60+G57</f>
        <v>12817</v>
      </c>
      <c r="H56" s="8">
        <f>H59+H62+H64+H65+H63+H61+H58+H60+H57</f>
        <v>6766.07</v>
      </c>
      <c r="I56" s="57">
        <f t="shared" si="2"/>
        <v>52.78981040805181</v>
      </c>
      <c r="J56" s="8">
        <f t="shared" si="15"/>
        <v>8760</v>
      </c>
      <c r="K56" s="8">
        <f t="shared" si="15"/>
        <v>9365</v>
      </c>
      <c r="L56" s="8">
        <f t="shared" si="3"/>
        <v>106.90639269406392</v>
      </c>
      <c r="M56" s="57">
        <f>(H56/G56)*100</f>
        <v>52.78981040805181</v>
      </c>
      <c r="N56" s="57">
        <f>(H56/E56)*100</f>
        <v>65.8395132246918</v>
      </c>
    </row>
    <row r="57" spans="1:14" ht="78.75">
      <c r="A57" s="239"/>
      <c r="B57" s="247"/>
      <c r="C57" s="6" t="s">
        <v>407</v>
      </c>
      <c r="D57" s="187" t="s">
        <v>408</v>
      </c>
      <c r="E57" s="8"/>
      <c r="F57" s="8"/>
      <c r="G57" s="4">
        <v>217</v>
      </c>
      <c r="H57" s="8">
        <v>217</v>
      </c>
      <c r="I57" s="57">
        <f t="shared" si="2"/>
        <v>100</v>
      </c>
      <c r="J57" s="8">
        <v>250</v>
      </c>
      <c r="K57" s="8">
        <v>300</v>
      </c>
      <c r="L57" s="8"/>
      <c r="M57" s="57"/>
      <c r="N57" s="57"/>
    </row>
    <row r="58" spans="1:14" ht="12" customHeight="1">
      <c r="A58" s="239"/>
      <c r="B58" s="247"/>
      <c r="C58" s="6" t="s">
        <v>95</v>
      </c>
      <c r="D58" s="9" t="s">
        <v>20</v>
      </c>
      <c r="E58" s="4">
        <v>9.8</v>
      </c>
      <c r="F58" s="4">
        <v>50</v>
      </c>
      <c r="G58" s="4">
        <v>50</v>
      </c>
      <c r="H58" s="4"/>
      <c r="I58" s="57">
        <f t="shared" si="2"/>
        <v>0</v>
      </c>
      <c r="J58" s="4">
        <v>50</v>
      </c>
      <c r="K58" s="4">
        <v>50</v>
      </c>
      <c r="L58" s="8">
        <f t="shared" si="3"/>
        <v>100</v>
      </c>
      <c r="M58" s="58">
        <f>(H58/G58)*100</f>
        <v>0</v>
      </c>
      <c r="N58" s="57"/>
    </row>
    <row r="59" spans="1:14" ht="24" customHeight="1">
      <c r="A59" s="239"/>
      <c r="B59" s="268"/>
      <c r="C59" s="6" t="s">
        <v>91</v>
      </c>
      <c r="D59" s="9" t="s">
        <v>15</v>
      </c>
      <c r="E59" s="4">
        <v>712.6</v>
      </c>
      <c r="F59" s="4">
        <v>1000</v>
      </c>
      <c r="G59" s="4">
        <v>1000</v>
      </c>
      <c r="H59" s="4">
        <v>400</v>
      </c>
      <c r="I59" s="57">
        <f t="shared" si="2"/>
        <v>40</v>
      </c>
      <c r="J59" s="4">
        <v>500</v>
      </c>
      <c r="K59" s="4">
        <v>700</v>
      </c>
      <c r="L59" s="8">
        <f t="shared" si="3"/>
        <v>140</v>
      </c>
      <c r="M59" s="58">
        <f>(H59/G59)*100</f>
        <v>40</v>
      </c>
      <c r="N59" s="57"/>
    </row>
    <row r="60" spans="1:14" ht="21.75" customHeight="1">
      <c r="A60" s="239"/>
      <c r="B60" s="268"/>
      <c r="C60" s="6" t="s">
        <v>345</v>
      </c>
      <c r="D60" s="9"/>
      <c r="E60" s="4"/>
      <c r="F60" s="4"/>
      <c r="G60" s="4"/>
      <c r="H60" s="4"/>
      <c r="I60" s="57" t="e">
        <f t="shared" si="2"/>
        <v>#DIV/0!</v>
      </c>
      <c r="J60" s="4"/>
      <c r="K60" s="4"/>
      <c r="L60" s="8" t="e">
        <f t="shared" si="3"/>
        <v>#DIV/0!</v>
      </c>
      <c r="M60" s="58"/>
      <c r="N60" s="57"/>
    </row>
    <row r="61" spans="1:14" ht="22.5">
      <c r="A61" s="239"/>
      <c r="B61" s="268"/>
      <c r="C61" s="6" t="s">
        <v>96</v>
      </c>
      <c r="D61" s="9" t="s">
        <v>25</v>
      </c>
      <c r="E61" s="4"/>
      <c r="F61" s="4"/>
      <c r="G61" s="4"/>
      <c r="H61" s="4"/>
      <c r="I61" s="57" t="e">
        <f t="shared" si="2"/>
        <v>#DIV/0!</v>
      </c>
      <c r="J61" s="4"/>
      <c r="K61" s="4"/>
      <c r="L61" s="8" t="e">
        <f t="shared" si="3"/>
        <v>#DIV/0!</v>
      </c>
      <c r="M61" s="58"/>
      <c r="N61" s="58"/>
    </row>
    <row r="62" spans="1:14" ht="22.5" customHeight="1">
      <c r="A62" s="239"/>
      <c r="B62" s="268"/>
      <c r="C62" s="6" t="s">
        <v>97</v>
      </c>
      <c r="D62" s="9" t="s">
        <v>26</v>
      </c>
      <c r="E62" s="4">
        <v>8847.14</v>
      </c>
      <c r="F62" s="4">
        <v>10000</v>
      </c>
      <c r="G62" s="4">
        <v>10000</v>
      </c>
      <c r="H62" s="4">
        <v>5430.98</v>
      </c>
      <c r="I62" s="57">
        <f t="shared" si="2"/>
        <v>54.309799999999996</v>
      </c>
      <c r="J62" s="4">
        <v>7300</v>
      </c>
      <c r="K62" s="4">
        <v>7500</v>
      </c>
      <c r="L62" s="8">
        <f t="shared" si="3"/>
        <v>102.73972602739727</v>
      </c>
      <c r="M62" s="58">
        <f>(H62/G62)*100</f>
        <v>54.309799999999996</v>
      </c>
      <c r="N62" s="58">
        <f>(H62/E62)*100</f>
        <v>61.38684365795047</v>
      </c>
    </row>
    <row r="63" spans="1:14" ht="25.5" customHeight="1">
      <c r="A63" s="239"/>
      <c r="B63" s="268"/>
      <c r="C63" s="6" t="s">
        <v>325</v>
      </c>
      <c r="D63" s="9"/>
      <c r="E63" s="4">
        <v>200</v>
      </c>
      <c r="F63" s="4">
        <v>500</v>
      </c>
      <c r="G63" s="4">
        <v>500</v>
      </c>
      <c r="H63" s="4">
        <v>263.99</v>
      </c>
      <c r="I63" s="57">
        <f t="shared" si="2"/>
        <v>52.798</v>
      </c>
      <c r="J63" s="4">
        <v>300</v>
      </c>
      <c r="K63" s="4">
        <v>400</v>
      </c>
      <c r="L63" s="8">
        <f t="shared" si="3"/>
        <v>133.33333333333331</v>
      </c>
      <c r="M63" s="58"/>
      <c r="N63" s="58"/>
    </row>
    <row r="64" spans="1:14" ht="22.5">
      <c r="A64" s="239"/>
      <c r="B64" s="268"/>
      <c r="C64" s="6" t="s">
        <v>90</v>
      </c>
      <c r="D64" s="9" t="s">
        <v>7</v>
      </c>
      <c r="E64" s="4">
        <v>499.32</v>
      </c>
      <c r="F64" s="4">
        <v>1000</v>
      </c>
      <c r="G64" s="4">
        <v>1000</v>
      </c>
      <c r="H64" s="4">
        <v>451</v>
      </c>
      <c r="I64" s="57">
        <f t="shared" si="2"/>
        <v>45.1</v>
      </c>
      <c r="J64" s="4">
        <v>600</v>
      </c>
      <c r="K64" s="4">
        <v>700</v>
      </c>
      <c r="L64" s="8">
        <f t="shared" si="3"/>
        <v>116.66666666666667</v>
      </c>
      <c r="M64" s="58">
        <f aca="true" t="shared" si="16" ref="M64:M72">(H64/G64)*100</f>
        <v>45.1</v>
      </c>
      <c r="N64" s="58"/>
    </row>
    <row r="65" spans="1:14" ht="45.75" customHeight="1">
      <c r="A65" s="239"/>
      <c r="B65" s="268"/>
      <c r="C65" s="6">
        <v>2360</v>
      </c>
      <c r="D65" s="9" t="s">
        <v>125</v>
      </c>
      <c r="E65" s="4">
        <v>7.75</v>
      </c>
      <c r="F65" s="4">
        <v>50</v>
      </c>
      <c r="G65" s="4">
        <v>50</v>
      </c>
      <c r="H65" s="4">
        <v>3.1</v>
      </c>
      <c r="I65" s="57">
        <f t="shared" si="2"/>
        <v>6.2</v>
      </c>
      <c r="J65" s="4">
        <v>10</v>
      </c>
      <c r="K65" s="4">
        <v>15</v>
      </c>
      <c r="L65" s="8">
        <f t="shared" si="3"/>
        <v>150</v>
      </c>
      <c r="M65" s="58">
        <f t="shared" si="16"/>
        <v>6.2</v>
      </c>
      <c r="N65" s="58">
        <f>(H65/E65)*100</f>
        <v>40</v>
      </c>
    </row>
    <row r="66" spans="1:14" ht="24" customHeight="1">
      <c r="A66" s="239"/>
      <c r="B66" s="248">
        <v>75075</v>
      </c>
      <c r="C66" s="6"/>
      <c r="D66" s="7" t="s">
        <v>335</v>
      </c>
      <c r="E66" s="8">
        <f>SUM(E67)</f>
        <v>10000</v>
      </c>
      <c r="F66" s="4"/>
      <c r="G66" s="4"/>
      <c r="H66" s="4"/>
      <c r="I66" s="57" t="e">
        <f t="shared" si="2"/>
        <v>#DIV/0!</v>
      </c>
      <c r="J66" s="4"/>
      <c r="K66" s="4"/>
      <c r="L66" s="8" t="e">
        <f t="shared" si="3"/>
        <v>#DIV/0!</v>
      </c>
      <c r="M66" s="58" t="e">
        <f t="shared" si="16"/>
        <v>#DIV/0!</v>
      </c>
      <c r="N66" s="58"/>
    </row>
    <row r="67" spans="1:14" ht="89.25" customHeight="1">
      <c r="A67" s="239"/>
      <c r="B67" s="250"/>
      <c r="C67" s="6" t="s">
        <v>327</v>
      </c>
      <c r="D67" s="9" t="s">
        <v>336</v>
      </c>
      <c r="E67" s="4">
        <v>10000</v>
      </c>
      <c r="F67" s="4"/>
      <c r="G67" s="4"/>
      <c r="H67" s="4"/>
      <c r="I67" s="57" t="e">
        <f t="shared" si="2"/>
        <v>#DIV/0!</v>
      </c>
      <c r="J67" s="4"/>
      <c r="K67" s="4"/>
      <c r="L67" s="8" t="e">
        <f t="shared" si="3"/>
        <v>#DIV/0!</v>
      </c>
      <c r="M67" s="58" t="e">
        <f t="shared" si="16"/>
        <v>#DIV/0!</v>
      </c>
      <c r="N67" s="58"/>
    </row>
    <row r="68" spans="1:14" ht="31.5">
      <c r="A68" s="239"/>
      <c r="B68" s="248">
        <v>75085</v>
      </c>
      <c r="C68" s="6"/>
      <c r="D68" s="7" t="s">
        <v>337</v>
      </c>
      <c r="E68" s="8">
        <f>SUM(E69:E70)</f>
        <v>483.43</v>
      </c>
      <c r="F68" s="8">
        <f>F69+F70</f>
        <v>200</v>
      </c>
      <c r="G68" s="4">
        <f>SUM(G69:G70)</f>
        <v>200</v>
      </c>
      <c r="H68" s="4">
        <f>SUM(H69:H70)</f>
        <v>243.91</v>
      </c>
      <c r="I68" s="57">
        <f t="shared" si="2"/>
        <v>121.95499999999998</v>
      </c>
      <c r="J68" s="4">
        <f>J69+J70</f>
        <v>325</v>
      </c>
      <c r="K68" s="4">
        <f>K69+K70</f>
        <v>350</v>
      </c>
      <c r="L68" s="8">
        <f t="shared" si="3"/>
        <v>107.6923076923077</v>
      </c>
      <c r="M68" s="58">
        <f t="shared" si="16"/>
        <v>121.95499999999998</v>
      </c>
      <c r="N68" s="58"/>
    </row>
    <row r="69" spans="1:14" ht="22.5">
      <c r="A69" s="239"/>
      <c r="B69" s="249"/>
      <c r="C69" s="6" t="s">
        <v>93</v>
      </c>
      <c r="D69" s="9" t="s">
        <v>338</v>
      </c>
      <c r="E69" s="4">
        <v>313.61</v>
      </c>
      <c r="F69" s="4">
        <v>100</v>
      </c>
      <c r="G69" s="4">
        <v>100</v>
      </c>
      <c r="H69" s="4">
        <v>113.31</v>
      </c>
      <c r="I69" s="57">
        <f t="shared" si="2"/>
        <v>113.31</v>
      </c>
      <c r="J69" s="4">
        <v>150</v>
      </c>
      <c r="K69" s="4">
        <v>170</v>
      </c>
      <c r="L69" s="8">
        <f t="shared" si="3"/>
        <v>113.33333333333333</v>
      </c>
      <c r="M69" s="58">
        <f t="shared" si="16"/>
        <v>113.31</v>
      </c>
      <c r="N69" s="58"/>
    </row>
    <row r="70" spans="1:14" ht="22.5">
      <c r="A70" s="239"/>
      <c r="B70" s="250"/>
      <c r="C70" s="6" t="s">
        <v>90</v>
      </c>
      <c r="D70" s="9" t="s">
        <v>7</v>
      </c>
      <c r="E70" s="4">
        <v>169.82</v>
      </c>
      <c r="F70" s="4">
        <v>100</v>
      </c>
      <c r="G70" s="4">
        <v>100</v>
      </c>
      <c r="H70" s="4">
        <v>130.6</v>
      </c>
      <c r="I70" s="57">
        <f t="shared" si="2"/>
        <v>130.6</v>
      </c>
      <c r="J70" s="4">
        <v>175</v>
      </c>
      <c r="K70" s="4">
        <v>180</v>
      </c>
      <c r="L70" s="8">
        <f t="shared" si="3"/>
        <v>102.85714285714285</v>
      </c>
      <c r="M70" s="58">
        <f t="shared" si="16"/>
        <v>130.6</v>
      </c>
      <c r="N70" s="58"/>
    </row>
    <row r="71" spans="1:14" s="52" customFormat="1" ht="19.5" customHeight="1">
      <c r="A71" s="241"/>
      <c r="B71" s="248">
        <v>75095</v>
      </c>
      <c r="C71" s="5"/>
      <c r="D71" s="7" t="s">
        <v>8</v>
      </c>
      <c r="E71" s="8">
        <f aca="true" t="shared" si="17" ref="E71:K71">E73+E74+E72</f>
        <v>7.11</v>
      </c>
      <c r="F71" s="8">
        <f t="shared" si="17"/>
        <v>10</v>
      </c>
      <c r="G71" s="8">
        <f t="shared" si="17"/>
        <v>10</v>
      </c>
      <c r="H71" s="8">
        <f t="shared" si="17"/>
        <v>0</v>
      </c>
      <c r="I71" s="57">
        <f t="shared" si="2"/>
        <v>0</v>
      </c>
      <c r="J71" s="8">
        <f t="shared" si="17"/>
        <v>20</v>
      </c>
      <c r="K71" s="8">
        <f t="shared" si="17"/>
        <v>30</v>
      </c>
      <c r="L71" s="8">
        <f t="shared" si="3"/>
        <v>150</v>
      </c>
      <c r="M71" s="58">
        <f t="shared" si="16"/>
        <v>0</v>
      </c>
      <c r="N71" s="57"/>
    </row>
    <row r="72" spans="1:14" s="51" customFormat="1" ht="36" customHeight="1">
      <c r="A72" s="241"/>
      <c r="B72" s="249"/>
      <c r="C72" s="6" t="s">
        <v>325</v>
      </c>
      <c r="D72" s="9" t="s">
        <v>339</v>
      </c>
      <c r="E72" s="4">
        <v>7.11</v>
      </c>
      <c r="F72" s="4">
        <v>10</v>
      </c>
      <c r="G72" s="4">
        <v>10</v>
      </c>
      <c r="H72" s="4">
        <v>0</v>
      </c>
      <c r="I72" s="57">
        <f aca="true" t="shared" si="18" ref="I72:I135">H72/G72*100</f>
        <v>0</v>
      </c>
      <c r="J72" s="4">
        <v>20</v>
      </c>
      <c r="K72" s="4">
        <v>30</v>
      </c>
      <c r="L72" s="8">
        <f t="shared" si="3"/>
        <v>150</v>
      </c>
      <c r="M72" s="58">
        <f t="shared" si="16"/>
        <v>0</v>
      </c>
      <c r="N72" s="58"/>
    </row>
    <row r="73" spans="1:14" s="51" customFormat="1" ht="66" customHeight="1">
      <c r="A73" s="241"/>
      <c r="B73" s="244"/>
      <c r="C73" s="6" t="s">
        <v>112</v>
      </c>
      <c r="D73" s="9" t="s">
        <v>305</v>
      </c>
      <c r="E73" s="4"/>
      <c r="F73" s="4"/>
      <c r="G73" s="4"/>
      <c r="H73" s="4"/>
      <c r="I73" s="57" t="e">
        <f t="shared" si="18"/>
        <v>#DIV/0!</v>
      </c>
      <c r="J73" s="4"/>
      <c r="K73" s="4"/>
      <c r="L73" s="8" t="e">
        <f t="shared" si="3"/>
        <v>#DIV/0!</v>
      </c>
      <c r="M73" s="58"/>
      <c r="N73" s="58"/>
    </row>
    <row r="74" spans="1:14" s="51" customFormat="1" ht="80.25" customHeight="1">
      <c r="A74" s="242"/>
      <c r="B74" s="245"/>
      <c r="C74" s="6" t="s">
        <v>291</v>
      </c>
      <c r="D74" s="9" t="s">
        <v>304</v>
      </c>
      <c r="E74" s="4"/>
      <c r="F74" s="4"/>
      <c r="G74" s="4"/>
      <c r="H74" s="4"/>
      <c r="I74" s="57" t="e">
        <f t="shared" si="18"/>
        <v>#DIV/0!</v>
      </c>
      <c r="J74" s="4"/>
      <c r="K74" s="4"/>
      <c r="L74" s="8" t="e">
        <f t="shared" si="3"/>
        <v>#DIV/0!</v>
      </c>
      <c r="M74" s="58"/>
      <c r="N74" s="58"/>
    </row>
    <row r="75" spans="1:14" ht="22.5" customHeight="1">
      <c r="A75" s="238" t="s">
        <v>256</v>
      </c>
      <c r="B75" s="197"/>
      <c r="C75" s="6"/>
      <c r="D75" s="7" t="s">
        <v>27</v>
      </c>
      <c r="E75" s="8">
        <f aca="true" t="shared" si="19" ref="E75:K76">E76</f>
        <v>1600</v>
      </c>
      <c r="F75" s="8">
        <f t="shared" si="19"/>
        <v>1600</v>
      </c>
      <c r="G75" s="8">
        <f>G76+G78</f>
        <v>41629</v>
      </c>
      <c r="H75" s="8">
        <f>H76+H78</f>
        <v>41233</v>
      </c>
      <c r="I75" s="57">
        <f t="shared" si="18"/>
        <v>99.04874006101517</v>
      </c>
      <c r="J75" s="8">
        <f>J76+J78</f>
        <v>1589</v>
      </c>
      <c r="K75" s="8">
        <f t="shared" si="19"/>
        <v>1589</v>
      </c>
      <c r="L75" s="8">
        <f t="shared" si="3"/>
        <v>100</v>
      </c>
      <c r="M75" s="57">
        <f>(H75/G75)*100</f>
        <v>99.04874006101517</v>
      </c>
      <c r="N75" s="58">
        <f>(H75/E75)*100</f>
        <v>2577.0625</v>
      </c>
    </row>
    <row r="76" spans="1:14" ht="30.75" customHeight="1">
      <c r="A76" s="239"/>
      <c r="B76" s="243">
        <v>75101</v>
      </c>
      <c r="C76" s="6"/>
      <c r="D76" s="7" t="s">
        <v>28</v>
      </c>
      <c r="E76" s="8">
        <f t="shared" si="19"/>
        <v>1600</v>
      </c>
      <c r="F76" s="8">
        <f t="shared" si="19"/>
        <v>1600</v>
      </c>
      <c r="G76" s="8">
        <f t="shared" si="19"/>
        <v>1589</v>
      </c>
      <c r="H76" s="8">
        <f t="shared" si="19"/>
        <v>1193</v>
      </c>
      <c r="I76" s="57">
        <f t="shared" si="18"/>
        <v>75.0786658275645</v>
      </c>
      <c r="J76" s="8">
        <f t="shared" si="19"/>
        <v>1589</v>
      </c>
      <c r="K76" s="8">
        <f t="shared" si="19"/>
        <v>1589</v>
      </c>
      <c r="L76" s="8">
        <f t="shared" si="3"/>
        <v>100</v>
      </c>
      <c r="M76" s="57">
        <f>(H76/G76)*100</f>
        <v>75.0786658275645</v>
      </c>
      <c r="N76" s="57"/>
    </row>
    <row r="77" spans="1:14" ht="35.25" customHeight="1">
      <c r="A77" s="239"/>
      <c r="B77" s="251"/>
      <c r="C77" s="6">
        <v>2010</v>
      </c>
      <c r="D77" s="9" t="s">
        <v>23</v>
      </c>
      <c r="E77" s="4">
        <v>1600</v>
      </c>
      <c r="F77" s="4">
        <v>1600</v>
      </c>
      <c r="G77" s="4">
        <v>1589</v>
      </c>
      <c r="H77" s="4">
        <v>1193</v>
      </c>
      <c r="I77" s="57">
        <f t="shared" si="18"/>
        <v>75.0786658275645</v>
      </c>
      <c r="J77" s="4">
        <v>1589</v>
      </c>
      <c r="K77" s="207">
        <v>1589</v>
      </c>
      <c r="L77" s="8">
        <f aca="true" t="shared" si="20" ref="L77:L146">K77/J77*100</f>
        <v>100</v>
      </c>
      <c r="M77" s="58">
        <f>(H77/G77)*100</f>
        <v>75.0786658275645</v>
      </c>
      <c r="N77" s="58"/>
    </row>
    <row r="78" spans="1:14" ht="80.25" customHeight="1">
      <c r="A78" s="128"/>
      <c r="B78" s="203" t="s">
        <v>409</v>
      </c>
      <c r="C78" s="6"/>
      <c r="D78" s="188" t="s">
        <v>410</v>
      </c>
      <c r="E78" s="4"/>
      <c r="F78" s="4"/>
      <c r="G78" s="8">
        <f>SUM(G79)</f>
        <v>40040</v>
      </c>
      <c r="H78" s="4">
        <v>40040</v>
      </c>
      <c r="I78" s="57">
        <f t="shared" si="18"/>
        <v>100</v>
      </c>
      <c r="J78" s="4"/>
      <c r="K78" s="4"/>
      <c r="L78" s="8"/>
      <c r="M78" s="58"/>
      <c r="N78" s="58"/>
    </row>
    <row r="79" spans="1:14" ht="48" customHeight="1">
      <c r="A79" s="128"/>
      <c r="B79" s="203"/>
      <c r="C79" s="6" t="s">
        <v>117</v>
      </c>
      <c r="D79" s="9" t="s">
        <v>23</v>
      </c>
      <c r="E79" s="4"/>
      <c r="F79" s="4"/>
      <c r="G79" s="4">
        <v>40040</v>
      </c>
      <c r="H79" s="4">
        <v>40040</v>
      </c>
      <c r="I79" s="57">
        <f t="shared" si="18"/>
        <v>100</v>
      </c>
      <c r="J79" s="4">
        <v>0</v>
      </c>
      <c r="K79" s="4">
        <v>40040</v>
      </c>
      <c r="L79" s="8">
        <v>0</v>
      </c>
      <c r="M79" s="58"/>
      <c r="N79" s="58"/>
    </row>
    <row r="80" spans="1:14" ht="33" customHeight="1">
      <c r="A80" s="238">
        <v>754</v>
      </c>
      <c r="B80" s="197"/>
      <c r="C80" s="6"/>
      <c r="D80" s="7" t="s">
        <v>29</v>
      </c>
      <c r="E80" s="8">
        <f aca="true" t="shared" si="21" ref="E80:K80">E81+E89</f>
        <v>21027.04</v>
      </c>
      <c r="F80" s="8">
        <f t="shared" si="21"/>
        <v>557000</v>
      </c>
      <c r="G80" s="8">
        <f t="shared" si="21"/>
        <v>182863.23</v>
      </c>
      <c r="H80" s="8">
        <f t="shared" si="21"/>
        <v>50863.23</v>
      </c>
      <c r="I80" s="57">
        <f t="shared" si="18"/>
        <v>27.81490297420646</v>
      </c>
      <c r="J80" s="8">
        <f t="shared" si="21"/>
        <v>0</v>
      </c>
      <c r="K80" s="8">
        <f t="shared" si="21"/>
        <v>0</v>
      </c>
      <c r="L80" s="8" t="e">
        <f t="shared" si="20"/>
        <v>#DIV/0!</v>
      </c>
      <c r="M80" s="58">
        <f>(H80/G80)*100</f>
        <v>27.81490297420646</v>
      </c>
      <c r="N80" s="58"/>
    </row>
    <row r="81" spans="1:14" ht="21" customHeight="1">
      <c r="A81" s="239"/>
      <c r="B81" s="243" t="s">
        <v>260</v>
      </c>
      <c r="C81" s="6"/>
      <c r="D81" s="7" t="s">
        <v>261</v>
      </c>
      <c r="E81" s="8">
        <f>E82+E88+E85+E86+E84+E87</f>
        <v>21027.04</v>
      </c>
      <c r="F81" s="8">
        <f>F82+F88+F85+F86+F84</f>
        <v>557000</v>
      </c>
      <c r="G81" s="8">
        <f>G82+G88+G85+G86+G84+G83</f>
        <v>182863.23</v>
      </c>
      <c r="H81" s="8">
        <f>H82+H88+H85+H86+H84+H83</f>
        <v>50863.23</v>
      </c>
      <c r="I81" s="57">
        <f t="shared" si="18"/>
        <v>27.81490297420646</v>
      </c>
      <c r="J81" s="8">
        <f>J82+J88+J85+J86+J84</f>
        <v>0</v>
      </c>
      <c r="K81" s="8">
        <f>K82+K88+K85+K86+K84</f>
        <v>0</v>
      </c>
      <c r="L81" s="8" t="e">
        <f t="shared" si="20"/>
        <v>#DIV/0!</v>
      </c>
      <c r="M81" s="58">
        <f>(H81/G81)*100</f>
        <v>27.81490297420646</v>
      </c>
      <c r="N81" s="58"/>
    </row>
    <row r="82" spans="1:14" ht="64.5" customHeight="1">
      <c r="A82" s="239"/>
      <c r="B82" s="247"/>
      <c r="C82" s="6" t="s">
        <v>112</v>
      </c>
      <c r="D82" s="9" t="s">
        <v>305</v>
      </c>
      <c r="E82" s="4"/>
      <c r="F82" s="4"/>
      <c r="G82" s="4"/>
      <c r="H82" s="4"/>
      <c r="I82" s="57" t="e">
        <f t="shared" si="18"/>
        <v>#DIV/0!</v>
      </c>
      <c r="J82" s="4"/>
      <c r="K82" s="4"/>
      <c r="L82" s="8" t="e">
        <f t="shared" si="20"/>
        <v>#DIV/0!</v>
      </c>
      <c r="M82" s="57"/>
      <c r="N82" s="58"/>
    </row>
    <row r="83" spans="1:14" ht="46.5" customHeight="1">
      <c r="A83" s="239"/>
      <c r="B83" s="247"/>
      <c r="C83" s="6" t="s">
        <v>413</v>
      </c>
      <c r="D83" s="9"/>
      <c r="E83" s="4"/>
      <c r="F83" s="4"/>
      <c r="G83" s="4">
        <v>50863.23</v>
      </c>
      <c r="H83" s="4">
        <v>50863.23</v>
      </c>
      <c r="I83" s="57">
        <f t="shared" si="18"/>
        <v>100</v>
      </c>
      <c r="J83" s="4">
        <v>50863.23</v>
      </c>
      <c r="K83" s="4"/>
      <c r="L83" s="8"/>
      <c r="M83" s="57"/>
      <c r="N83" s="58"/>
    </row>
    <row r="84" spans="1:14" ht="22.5">
      <c r="A84" s="239"/>
      <c r="B84" s="247"/>
      <c r="C84" s="6" t="s">
        <v>248</v>
      </c>
      <c r="D84" s="9"/>
      <c r="E84" s="4">
        <v>6027.04</v>
      </c>
      <c r="F84" s="4"/>
      <c r="G84" s="4"/>
      <c r="H84" s="4"/>
      <c r="I84" s="57" t="e">
        <f t="shared" si="18"/>
        <v>#DIV/0!</v>
      </c>
      <c r="J84" s="4"/>
      <c r="K84" s="4"/>
      <c r="L84" s="8" t="e">
        <f t="shared" si="20"/>
        <v>#DIV/0!</v>
      </c>
      <c r="M84" s="57"/>
      <c r="N84" s="58"/>
    </row>
    <row r="85" spans="1:14" ht="67.5" customHeight="1">
      <c r="A85" s="239"/>
      <c r="B85" s="247"/>
      <c r="C85" s="6" t="s">
        <v>193</v>
      </c>
      <c r="D85" s="9" t="s">
        <v>145</v>
      </c>
      <c r="E85" s="4"/>
      <c r="F85" s="4">
        <v>425000</v>
      </c>
      <c r="G85" s="4"/>
      <c r="H85" s="4"/>
      <c r="I85" s="57" t="e">
        <f t="shared" si="18"/>
        <v>#DIV/0!</v>
      </c>
      <c r="J85" s="4"/>
      <c r="K85" s="4"/>
      <c r="L85" s="8" t="e">
        <f t="shared" si="20"/>
        <v>#DIV/0!</v>
      </c>
      <c r="M85" s="57"/>
      <c r="N85" s="58"/>
    </row>
    <row r="86" spans="1:14" ht="63.75" customHeight="1">
      <c r="A86" s="239"/>
      <c r="B86" s="247"/>
      <c r="C86" s="6" t="s">
        <v>291</v>
      </c>
      <c r="D86" s="9" t="s">
        <v>304</v>
      </c>
      <c r="E86" s="4"/>
      <c r="F86" s="4">
        <v>132000</v>
      </c>
      <c r="G86" s="4"/>
      <c r="H86" s="4"/>
      <c r="I86" s="57" t="e">
        <f t="shared" si="18"/>
        <v>#DIV/0!</v>
      </c>
      <c r="J86" s="4"/>
      <c r="K86" s="4"/>
      <c r="L86" s="8" t="e">
        <f t="shared" si="20"/>
        <v>#DIV/0!</v>
      </c>
      <c r="M86" s="57"/>
      <c r="N86" s="58"/>
    </row>
    <row r="87" spans="1:14" ht="63.75" customHeight="1">
      <c r="A87" s="239"/>
      <c r="B87" s="247"/>
      <c r="C87" s="6" t="s">
        <v>404</v>
      </c>
      <c r="D87" s="9"/>
      <c r="E87" s="4">
        <v>15000</v>
      </c>
      <c r="F87" s="4"/>
      <c r="G87" s="4"/>
      <c r="H87" s="4"/>
      <c r="I87" s="57" t="e">
        <f t="shared" si="18"/>
        <v>#DIV/0!</v>
      </c>
      <c r="J87" s="4"/>
      <c r="K87" s="4"/>
      <c r="L87" s="8"/>
      <c r="M87" s="57"/>
      <c r="N87" s="58"/>
    </row>
    <row r="88" spans="1:14" ht="93.75" customHeight="1">
      <c r="A88" s="239"/>
      <c r="B88" s="251"/>
      <c r="C88" s="6" t="s">
        <v>262</v>
      </c>
      <c r="D88" s="9" t="s">
        <v>263</v>
      </c>
      <c r="E88" s="4"/>
      <c r="F88" s="4"/>
      <c r="G88" s="4">
        <v>132000</v>
      </c>
      <c r="H88" s="4"/>
      <c r="I88" s="57">
        <f t="shared" si="18"/>
        <v>0</v>
      </c>
      <c r="J88" s="4"/>
      <c r="K88" s="4"/>
      <c r="L88" s="8" t="e">
        <f t="shared" si="20"/>
        <v>#DIV/0!</v>
      </c>
      <c r="M88" s="57"/>
      <c r="N88" s="58"/>
    </row>
    <row r="89" spans="1:14" ht="12.75">
      <c r="A89" s="241"/>
      <c r="B89" s="243" t="s">
        <v>328</v>
      </c>
      <c r="C89" s="6"/>
      <c r="D89" s="9" t="s">
        <v>8</v>
      </c>
      <c r="E89" s="8">
        <f>SUM(E92)</f>
        <v>0</v>
      </c>
      <c r="F89" s="4"/>
      <c r="G89" s="8">
        <f>SUM(G90:G92)</f>
        <v>0</v>
      </c>
      <c r="H89" s="4"/>
      <c r="I89" s="57" t="e">
        <f t="shared" si="18"/>
        <v>#DIV/0!</v>
      </c>
      <c r="J89" s="4"/>
      <c r="K89" s="4"/>
      <c r="L89" s="8" t="e">
        <f t="shared" si="20"/>
        <v>#DIV/0!</v>
      </c>
      <c r="M89" s="57"/>
      <c r="N89" s="58"/>
    </row>
    <row r="90" spans="1:14" ht="75" customHeight="1">
      <c r="A90" s="241"/>
      <c r="B90" s="247"/>
      <c r="C90" s="6" t="s">
        <v>119</v>
      </c>
      <c r="D90" s="9" t="s">
        <v>124</v>
      </c>
      <c r="E90" s="4"/>
      <c r="F90" s="4">
        <v>100000</v>
      </c>
      <c r="G90" s="8"/>
      <c r="H90" s="4"/>
      <c r="I90" s="57" t="e">
        <f t="shared" si="18"/>
        <v>#DIV/0!</v>
      </c>
      <c r="J90" s="4"/>
      <c r="K90" s="4"/>
      <c r="L90" s="8" t="e">
        <f t="shared" si="20"/>
        <v>#DIV/0!</v>
      </c>
      <c r="M90" s="57"/>
      <c r="N90" s="58"/>
    </row>
    <row r="91" spans="1:14" ht="18" customHeight="1">
      <c r="A91" s="241"/>
      <c r="B91" s="247"/>
      <c r="C91" s="6" t="s">
        <v>346</v>
      </c>
      <c r="D91" s="9"/>
      <c r="E91" s="4">
        <v>100000</v>
      </c>
      <c r="F91" s="4"/>
      <c r="G91" s="4"/>
      <c r="H91" s="4"/>
      <c r="I91" s="57" t="e">
        <f t="shared" si="18"/>
        <v>#DIV/0!</v>
      </c>
      <c r="J91" s="4"/>
      <c r="K91" s="4"/>
      <c r="L91" s="8"/>
      <c r="M91" s="57"/>
      <c r="N91" s="58"/>
    </row>
    <row r="92" spans="1:14" ht="22.5">
      <c r="A92" s="242"/>
      <c r="B92" s="251"/>
      <c r="C92" s="6" t="s">
        <v>291</v>
      </c>
      <c r="D92" s="9"/>
      <c r="E92" s="4"/>
      <c r="F92" s="4"/>
      <c r="G92" s="4"/>
      <c r="H92" s="4"/>
      <c r="I92" s="57" t="e">
        <f t="shared" si="18"/>
        <v>#DIV/0!</v>
      </c>
      <c r="J92" s="4"/>
      <c r="K92" s="4"/>
      <c r="L92" s="8" t="e">
        <f t="shared" si="20"/>
        <v>#DIV/0!</v>
      </c>
      <c r="M92" s="57"/>
      <c r="N92" s="58"/>
    </row>
    <row r="93" spans="1:14" ht="66" customHeight="1">
      <c r="A93" s="265">
        <v>756</v>
      </c>
      <c r="B93" s="197"/>
      <c r="C93" s="6"/>
      <c r="D93" s="7" t="s">
        <v>82</v>
      </c>
      <c r="E93" s="8">
        <f aca="true" t="shared" si="22" ref="E93:L93">E94+E96+E106+E121+E126</f>
        <v>7554429.25</v>
      </c>
      <c r="F93" s="8">
        <f t="shared" si="22"/>
        <v>8494457.11</v>
      </c>
      <c r="G93" s="8">
        <f t="shared" si="22"/>
        <v>8520605.61</v>
      </c>
      <c r="H93" s="8">
        <f t="shared" si="22"/>
        <v>6053421.289999999</v>
      </c>
      <c r="I93" s="57">
        <f t="shared" si="18"/>
        <v>71.0444957444756</v>
      </c>
      <c r="J93" s="8">
        <f t="shared" si="22"/>
        <v>8192140.74</v>
      </c>
      <c r="K93" s="8">
        <f t="shared" si="22"/>
        <v>9202256.74</v>
      </c>
      <c r="L93" s="8">
        <f t="shared" si="22"/>
        <v>545.7766586204059</v>
      </c>
      <c r="M93" s="57">
        <f aca="true" t="shared" si="23" ref="M93:M114">(H93/G93)*100</f>
        <v>71.0444957444756</v>
      </c>
      <c r="N93" s="57">
        <f aca="true" t="shared" si="24" ref="N93:N100">(H93/E93)*100</f>
        <v>80.13075627122987</v>
      </c>
    </row>
    <row r="94" spans="1:14" ht="31.5">
      <c r="A94" s="265"/>
      <c r="B94" s="243">
        <v>75601</v>
      </c>
      <c r="C94" s="6"/>
      <c r="D94" s="7" t="s">
        <v>81</v>
      </c>
      <c r="E94" s="8">
        <f>SUM(E95)</f>
        <v>6701.62</v>
      </c>
      <c r="F94" s="8">
        <f>SUM(F95)</f>
        <v>5000</v>
      </c>
      <c r="G94" s="8">
        <v>5000</v>
      </c>
      <c r="H94" s="8">
        <v>3536.74</v>
      </c>
      <c r="I94" s="57">
        <f t="shared" si="18"/>
        <v>70.73479999999999</v>
      </c>
      <c r="J94" s="8">
        <v>3536.74</v>
      </c>
      <c r="K94" s="8">
        <v>3536.74</v>
      </c>
      <c r="L94" s="8">
        <f t="shared" si="20"/>
        <v>100</v>
      </c>
      <c r="M94" s="57">
        <f t="shared" si="23"/>
        <v>70.73479999999999</v>
      </c>
      <c r="N94" s="57">
        <f t="shared" si="24"/>
        <v>52.77440380087203</v>
      </c>
    </row>
    <row r="95" spans="1:14" ht="22.5">
      <c r="A95" s="265"/>
      <c r="B95" s="244"/>
      <c r="C95" s="6" t="s">
        <v>98</v>
      </c>
      <c r="D95" s="9" t="s">
        <v>30</v>
      </c>
      <c r="E95" s="4">
        <v>6701.62</v>
      </c>
      <c r="F95" s="8">
        <v>5000</v>
      </c>
      <c r="G95" s="4">
        <v>5000</v>
      </c>
      <c r="H95" s="4">
        <v>3536.74</v>
      </c>
      <c r="I95" s="57">
        <f t="shared" si="18"/>
        <v>70.73479999999999</v>
      </c>
      <c r="J95" s="4">
        <v>5000</v>
      </c>
      <c r="K95" s="4">
        <v>5300</v>
      </c>
      <c r="L95" s="8">
        <f t="shared" si="20"/>
        <v>106</v>
      </c>
      <c r="M95" s="58">
        <f t="shared" si="23"/>
        <v>70.73479999999999</v>
      </c>
      <c r="N95" s="58">
        <f t="shared" si="24"/>
        <v>52.77440380087203</v>
      </c>
    </row>
    <row r="96" spans="1:14" ht="52.5">
      <c r="A96" s="265"/>
      <c r="B96" s="243">
        <v>75615</v>
      </c>
      <c r="C96" s="6"/>
      <c r="D96" s="7" t="s">
        <v>31</v>
      </c>
      <c r="E96" s="8">
        <f aca="true" t="shared" si="25" ref="E96:K96">E97+E98+E99+E100+E104+E105+E101+E102+E103</f>
        <v>1359153.1</v>
      </c>
      <c r="F96" s="8">
        <f t="shared" si="25"/>
        <v>1826804</v>
      </c>
      <c r="G96" s="8">
        <f t="shared" si="25"/>
        <v>1655952.5</v>
      </c>
      <c r="H96" s="8">
        <f t="shared" si="25"/>
        <v>958523.27</v>
      </c>
      <c r="I96" s="57">
        <f t="shared" si="18"/>
        <v>57.88350028156001</v>
      </c>
      <c r="J96" s="8">
        <f t="shared" si="25"/>
        <v>1388460</v>
      </c>
      <c r="K96" s="8">
        <f t="shared" si="25"/>
        <v>1712600</v>
      </c>
      <c r="L96" s="8">
        <f t="shared" si="20"/>
        <v>123.34528902525099</v>
      </c>
      <c r="M96" s="57">
        <f t="shared" si="23"/>
        <v>57.88350028156001</v>
      </c>
      <c r="N96" s="57">
        <f t="shared" si="24"/>
        <v>70.52356868405774</v>
      </c>
    </row>
    <row r="97" spans="1:14" ht="12.75" customHeight="1">
      <c r="A97" s="265"/>
      <c r="B97" s="244"/>
      <c r="C97" s="6" t="s">
        <v>100</v>
      </c>
      <c r="D97" s="9" t="s">
        <v>32</v>
      </c>
      <c r="E97" s="4">
        <v>1190249.6</v>
      </c>
      <c r="F97" s="4">
        <v>1641704</v>
      </c>
      <c r="G97" s="4">
        <v>1441819</v>
      </c>
      <c r="H97" s="4">
        <v>827335.87</v>
      </c>
      <c r="I97" s="57">
        <f t="shared" si="18"/>
        <v>57.381396000468854</v>
      </c>
      <c r="J97" s="4">
        <v>1200000</v>
      </c>
      <c r="K97" s="4">
        <v>1500000</v>
      </c>
      <c r="L97" s="8">
        <f t="shared" si="20"/>
        <v>125</v>
      </c>
      <c r="M97" s="58">
        <f t="shared" si="23"/>
        <v>57.381396000468854</v>
      </c>
      <c r="N97" s="58">
        <f t="shared" si="24"/>
        <v>69.5094432293865</v>
      </c>
    </row>
    <row r="98" spans="1:14" ht="22.5">
      <c r="A98" s="265"/>
      <c r="B98" s="244"/>
      <c r="C98" s="6" t="s">
        <v>101</v>
      </c>
      <c r="D98" s="9" t="s">
        <v>33</v>
      </c>
      <c r="E98" s="4">
        <v>52357.9</v>
      </c>
      <c r="F98" s="4">
        <v>55000</v>
      </c>
      <c r="G98" s="4">
        <v>78863.5</v>
      </c>
      <c r="H98" s="4">
        <v>37164</v>
      </c>
      <c r="I98" s="57">
        <f t="shared" si="18"/>
        <v>47.124461886677615</v>
      </c>
      <c r="J98" s="4">
        <v>60000</v>
      </c>
      <c r="K98" s="4">
        <v>70000</v>
      </c>
      <c r="L98" s="8">
        <f t="shared" si="20"/>
        <v>116.66666666666667</v>
      </c>
      <c r="M98" s="58">
        <f t="shared" si="23"/>
        <v>47.124461886677615</v>
      </c>
      <c r="N98" s="58">
        <f t="shared" si="24"/>
        <v>70.98069250294607</v>
      </c>
    </row>
    <row r="99" spans="1:14" ht="22.5">
      <c r="A99" s="265"/>
      <c r="B99" s="244"/>
      <c r="C99" s="6" t="s">
        <v>102</v>
      </c>
      <c r="D99" s="9" t="s">
        <v>34</v>
      </c>
      <c r="E99" s="4">
        <v>103283</v>
      </c>
      <c r="F99" s="4">
        <v>110000</v>
      </c>
      <c r="G99" s="4">
        <v>110000</v>
      </c>
      <c r="H99" s="4">
        <v>79838</v>
      </c>
      <c r="I99" s="57">
        <f t="shared" si="18"/>
        <v>72.58</v>
      </c>
      <c r="J99" s="4">
        <v>110000</v>
      </c>
      <c r="K99" s="4">
        <v>120000</v>
      </c>
      <c r="L99" s="8">
        <f t="shared" si="20"/>
        <v>109.09090909090908</v>
      </c>
      <c r="M99" s="58">
        <f t="shared" si="23"/>
        <v>72.58</v>
      </c>
      <c r="N99" s="58">
        <f t="shared" si="24"/>
        <v>77.30023333946535</v>
      </c>
    </row>
    <row r="100" spans="1:14" ht="22.5">
      <c r="A100" s="265"/>
      <c r="B100" s="244"/>
      <c r="C100" s="6" t="s">
        <v>103</v>
      </c>
      <c r="D100" s="9" t="s">
        <v>35</v>
      </c>
      <c r="E100" s="4">
        <v>7139</v>
      </c>
      <c r="F100" s="4">
        <v>10000</v>
      </c>
      <c r="G100" s="4">
        <v>15000</v>
      </c>
      <c r="H100" s="4">
        <v>13025</v>
      </c>
      <c r="I100" s="57">
        <f t="shared" si="18"/>
        <v>86.83333333333333</v>
      </c>
      <c r="J100" s="4">
        <v>17000</v>
      </c>
      <c r="K100" s="4">
        <v>20000</v>
      </c>
      <c r="L100" s="8">
        <f t="shared" si="20"/>
        <v>117.64705882352942</v>
      </c>
      <c r="M100" s="58">
        <f t="shared" si="23"/>
        <v>86.83333333333333</v>
      </c>
      <c r="N100" s="58">
        <f t="shared" si="24"/>
        <v>182.44852220198908</v>
      </c>
    </row>
    <row r="101" spans="1:14" ht="33.75">
      <c r="A101" s="265"/>
      <c r="B101" s="244"/>
      <c r="C101" s="6" t="s">
        <v>89</v>
      </c>
      <c r="D101" s="9" t="s">
        <v>19</v>
      </c>
      <c r="E101" s="4"/>
      <c r="F101" s="4"/>
      <c r="G101" s="4"/>
      <c r="H101" s="4"/>
      <c r="I101" s="57" t="e">
        <f t="shared" si="18"/>
        <v>#DIV/0!</v>
      </c>
      <c r="J101" s="4"/>
      <c r="K101" s="4"/>
      <c r="L101" s="8" t="e">
        <f t="shared" si="20"/>
        <v>#DIV/0!</v>
      </c>
      <c r="M101" s="58" t="e">
        <f t="shared" si="23"/>
        <v>#DIV/0!</v>
      </c>
      <c r="N101" s="58"/>
    </row>
    <row r="102" spans="1:14" ht="33.75">
      <c r="A102" s="265"/>
      <c r="B102" s="244"/>
      <c r="C102" s="6" t="s">
        <v>105</v>
      </c>
      <c r="D102" s="9" t="s">
        <v>290</v>
      </c>
      <c r="E102" s="4"/>
      <c r="F102" s="4"/>
      <c r="G102" s="4">
        <v>170</v>
      </c>
      <c r="H102" s="4">
        <v>218</v>
      </c>
      <c r="I102" s="57">
        <f t="shared" si="18"/>
        <v>128.23529411764707</v>
      </c>
      <c r="J102" s="4">
        <v>400</v>
      </c>
      <c r="K102" s="4">
        <v>500</v>
      </c>
      <c r="L102" s="8">
        <f t="shared" si="20"/>
        <v>125</v>
      </c>
      <c r="M102" s="58">
        <f t="shared" si="23"/>
        <v>128.23529411764707</v>
      </c>
      <c r="N102" s="58"/>
    </row>
    <row r="103" spans="1:14" ht="45">
      <c r="A103" s="265"/>
      <c r="B103" s="244"/>
      <c r="C103" s="6" t="s">
        <v>323</v>
      </c>
      <c r="D103" s="9" t="s">
        <v>333</v>
      </c>
      <c r="E103" s="4">
        <v>11.6</v>
      </c>
      <c r="F103" s="4">
        <v>100</v>
      </c>
      <c r="G103" s="4">
        <v>100</v>
      </c>
      <c r="H103" s="4">
        <v>46.4</v>
      </c>
      <c r="I103" s="57">
        <f t="shared" si="18"/>
        <v>46.4</v>
      </c>
      <c r="J103" s="4">
        <v>60</v>
      </c>
      <c r="K103" s="4">
        <v>100</v>
      </c>
      <c r="L103" s="8">
        <f t="shared" si="20"/>
        <v>166.66666666666669</v>
      </c>
      <c r="M103" s="58">
        <f t="shared" si="23"/>
        <v>46.4</v>
      </c>
      <c r="N103" s="58"/>
    </row>
    <row r="104" spans="1:14" ht="33.75">
      <c r="A104" s="265"/>
      <c r="B104" s="244"/>
      <c r="C104" s="6" t="s">
        <v>99</v>
      </c>
      <c r="D104" s="9" t="s">
        <v>39</v>
      </c>
      <c r="E104" s="4">
        <v>4817</v>
      </c>
      <c r="F104" s="4">
        <v>10000</v>
      </c>
      <c r="G104" s="4">
        <v>10000</v>
      </c>
      <c r="H104" s="4">
        <v>896</v>
      </c>
      <c r="I104" s="57">
        <f t="shared" si="18"/>
        <v>8.959999999999999</v>
      </c>
      <c r="J104" s="4">
        <v>1000</v>
      </c>
      <c r="K104" s="4">
        <v>2000</v>
      </c>
      <c r="L104" s="8">
        <f t="shared" si="20"/>
        <v>200</v>
      </c>
      <c r="M104" s="58">
        <f t="shared" si="23"/>
        <v>8.959999999999999</v>
      </c>
      <c r="N104" s="58">
        <f aca="true" t="shared" si="26" ref="N104:N118">(H104/E104)*100</f>
        <v>18.60078887274237</v>
      </c>
    </row>
    <row r="105" spans="1:14" ht="45">
      <c r="A105" s="265"/>
      <c r="B105" s="245"/>
      <c r="C105" s="6" t="s">
        <v>200</v>
      </c>
      <c r="D105" s="9" t="s">
        <v>201</v>
      </c>
      <c r="E105" s="4">
        <v>1295</v>
      </c>
      <c r="F105" s="4"/>
      <c r="G105" s="4"/>
      <c r="H105" s="4"/>
      <c r="I105" s="57" t="e">
        <f t="shared" si="18"/>
        <v>#DIV/0!</v>
      </c>
      <c r="J105" s="4"/>
      <c r="K105" s="4"/>
      <c r="L105" s="8" t="e">
        <f t="shared" si="20"/>
        <v>#DIV/0!</v>
      </c>
      <c r="M105" s="58" t="e">
        <f t="shared" si="23"/>
        <v>#DIV/0!</v>
      </c>
      <c r="N105" s="58">
        <f t="shared" si="26"/>
        <v>0</v>
      </c>
    </row>
    <row r="106" spans="1:14" ht="54" customHeight="1">
      <c r="A106" s="265"/>
      <c r="B106" s="243">
        <v>75616</v>
      </c>
      <c r="C106" s="6"/>
      <c r="D106" s="7" t="s">
        <v>40</v>
      </c>
      <c r="E106" s="8">
        <f>E107+E108+E109+E110+E111+E112+E113+E114+E116+E117+E119+E120+E118+E115</f>
        <v>2978966.4299999997</v>
      </c>
      <c r="F106" s="8">
        <f>F107+F108+F109+F110+F111+F112+F113+F114+F116+F117+F119+F120+F118</f>
        <v>3134200</v>
      </c>
      <c r="G106" s="8">
        <f>G107+G108+G109+G110+G111+G112+G113+G114+G116+G117+G119+G120+G118</f>
        <v>3331200</v>
      </c>
      <c r="H106" s="8">
        <f>H107+H108+H109+H110+H111+H112+H113+H114+H116+H117+H119+H120+H118</f>
        <v>2438749.4699999997</v>
      </c>
      <c r="I106" s="57">
        <f t="shared" si="18"/>
        <v>73.20933807636887</v>
      </c>
      <c r="J106" s="8">
        <f>J107+J108+J109+J110+J111+J112+J113+J114+J116+J117+J119+J120+J118</f>
        <v>3281250</v>
      </c>
      <c r="K106" s="8">
        <f>K107+K108+K109+K110+K111+K112+K113+K114+K116+K117+K119+K120+K118</f>
        <v>3449250</v>
      </c>
      <c r="L106" s="8">
        <f t="shared" si="20"/>
        <v>105.11999999999999</v>
      </c>
      <c r="M106" s="57">
        <f t="shared" si="23"/>
        <v>73.20933807636887</v>
      </c>
      <c r="N106" s="57">
        <f t="shared" si="26"/>
        <v>81.86562444746986</v>
      </c>
    </row>
    <row r="107" spans="1:14" ht="21.75" customHeight="1">
      <c r="A107" s="265"/>
      <c r="B107" s="244"/>
      <c r="C107" s="6" t="s">
        <v>100</v>
      </c>
      <c r="D107" s="9" t="s">
        <v>32</v>
      </c>
      <c r="E107" s="4">
        <v>1160742.83</v>
      </c>
      <c r="F107" s="4">
        <v>1300000</v>
      </c>
      <c r="G107" s="4">
        <v>1297000</v>
      </c>
      <c r="H107" s="4">
        <v>910670.34</v>
      </c>
      <c r="I107" s="57">
        <f t="shared" si="18"/>
        <v>70.21359599074788</v>
      </c>
      <c r="J107" s="4">
        <v>1250000</v>
      </c>
      <c r="K107" s="4">
        <v>1300000</v>
      </c>
      <c r="L107" s="8">
        <f t="shared" si="20"/>
        <v>104</v>
      </c>
      <c r="M107" s="58">
        <f t="shared" si="23"/>
        <v>70.21359599074788</v>
      </c>
      <c r="N107" s="58">
        <f t="shared" si="26"/>
        <v>78.45582298363195</v>
      </c>
    </row>
    <row r="108" spans="1:14" ht="22.5">
      <c r="A108" s="265"/>
      <c r="B108" s="244"/>
      <c r="C108" s="6" t="s">
        <v>101</v>
      </c>
      <c r="D108" s="9" t="s">
        <v>33</v>
      </c>
      <c r="E108" s="4">
        <v>1492915.21</v>
      </c>
      <c r="F108" s="4">
        <v>1500000</v>
      </c>
      <c r="G108" s="4">
        <v>1700000</v>
      </c>
      <c r="H108" s="4">
        <v>1275019.15</v>
      </c>
      <c r="I108" s="57">
        <f t="shared" si="18"/>
        <v>75.00112647058823</v>
      </c>
      <c r="J108" s="4">
        <v>1700000</v>
      </c>
      <c r="K108" s="4">
        <v>1780000</v>
      </c>
      <c r="L108" s="8">
        <f t="shared" si="20"/>
        <v>104.70588235294119</v>
      </c>
      <c r="M108" s="58">
        <f t="shared" si="23"/>
        <v>75.00112647058823</v>
      </c>
      <c r="N108" s="58">
        <f t="shared" si="26"/>
        <v>85.40465938450717</v>
      </c>
    </row>
    <row r="109" spans="1:14" ht="22.5">
      <c r="A109" s="265"/>
      <c r="B109" s="244"/>
      <c r="C109" s="6" t="s">
        <v>102</v>
      </c>
      <c r="D109" s="9" t="s">
        <v>34</v>
      </c>
      <c r="E109" s="4">
        <v>12307.52</v>
      </c>
      <c r="F109" s="4">
        <v>14000</v>
      </c>
      <c r="G109" s="4">
        <v>14000</v>
      </c>
      <c r="H109" s="4">
        <v>14381.05</v>
      </c>
      <c r="I109" s="57">
        <f t="shared" si="18"/>
        <v>102.72178571428572</v>
      </c>
      <c r="J109" s="4">
        <v>19000</v>
      </c>
      <c r="K109" s="4">
        <v>20000</v>
      </c>
      <c r="L109" s="8">
        <f t="shared" si="20"/>
        <v>105.26315789473684</v>
      </c>
      <c r="M109" s="58">
        <f t="shared" si="23"/>
        <v>102.72178571428572</v>
      </c>
      <c r="N109" s="58">
        <f t="shared" si="26"/>
        <v>116.84766711733963</v>
      </c>
    </row>
    <row r="110" spans="1:14" ht="22.5">
      <c r="A110" s="265"/>
      <c r="B110" s="244"/>
      <c r="C110" s="6" t="s">
        <v>103</v>
      </c>
      <c r="D110" s="9" t="s">
        <v>35</v>
      </c>
      <c r="E110" s="4">
        <v>91476.5</v>
      </c>
      <c r="F110" s="4">
        <v>125000</v>
      </c>
      <c r="G110" s="4">
        <v>125000</v>
      </c>
      <c r="H110" s="4">
        <v>52290.9</v>
      </c>
      <c r="I110" s="57">
        <f t="shared" si="18"/>
        <v>41.83272</v>
      </c>
      <c r="J110" s="4">
        <v>65000</v>
      </c>
      <c r="K110" s="4">
        <v>70000</v>
      </c>
      <c r="L110" s="8">
        <f t="shared" si="20"/>
        <v>107.6923076923077</v>
      </c>
      <c r="M110" s="58">
        <f t="shared" si="23"/>
        <v>41.83272</v>
      </c>
      <c r="N110" s="58">
        <f t="shared" si="26"/>
        <v>57.163205850682964</v>
      </c>
    </row>
    <row r="111" spans="1:14" ht="22.5">
      <c r="A111" s="265"/>
      <c r="B111" s="244"/>
      <c r="C111" s="6" t="s">
        <v>106</v>
      </c>
      <c r="D111" s="9" t="s">
        <v>41</v>
      </c>
      <c r="E111" s="4">
        <v>2498.3</v>
      </c>
      <c r="F111" s="4">
        <v>1100</v>
      </c>
      <c r="G111" s="4">
        <v>1100</v>
      </c>
      <c r="H111" s="4">
        <v>635.9</v>
      </c>
      <c r="I111" s="57">
        <f t="shared" si="18"/>
        <v>57.80909090909091</v>
      </c>
      <c r="J111" s="4">
        <v>1000</v>
      </c>
      <c r="K111" s="4">
        <v>1500</v>
      </c>
      <c r="L111" s="8">
        <f t="shared" si="20"/>
        <v>150</v>
      </c>
      <c r="M111" s="58">
        <f t="shared" si="23"/>
        <v>57.80909090909091</v>
      </c>
      <c r="N111" s="58">
        <f t="shared" si="26"/>
        <v>25.45330824960973</v>
      </c>
    </row>
    <row r="112" spans="1:14" ht="22.5">
      <c r="A112" s="265"/>
      <c r="B112" s="244"/>
      <c r="C112" s="6" t="s">
        <v>107</v>
      </c>
      <c r="D112" s="9" t="s">
        <v>42</v>
      </c>
      <c r="E112" s="4">
        <v>4380</v>
      </c>
      <c r="F112" s="4">
        <v>5000</v>
      </c>
      <c r="G112" s="4">
        <v>5000</v>
      </c>
      <c r="H112" s="4">
        <v>3360</v>
      </c>
      <c r="I112" s="57">
        <f t="shared" si="18"/>
        <v>67.2</v>
      </c>
      <c r="J112" s="4">
        <v>4500</v>
      </c>
      <c r="K112" s="4">
        <v>5000</v>
      </c>
      <c r="L112" s="8">
        <f t="shared" si="20"/>
        <v>111.11111111111111</v>
      </c>
      <c r="M112" s="58">
        <f t="shared" si="23"/>
        <v>67.2</v>
      </c>
      <c r="N112" s="58">
        <f t="shared" si="26"/>
        <v>76.71232876712328</v>
      </c>
    </row>
    <row r="113" spans="1:14" ht="22.5">
      <c r="A113" s="265"/>
      <c r="B113" s="244"/>
      <c r="C113" s="6" t="s">
        <v>108</v>
      </c>
      <c r="D113" s="9" t="s">
        <v>43</v>
      </c>
      <c r="E113" s="4">
        <v>5196</v>
      </c>
      <c r="F113" s="4">
        <v>5000</v>
      </c>
      <c r="G113" s="4">
        <v>5000</v>
      </c>
      <c r="H113" s="4">
        <v>4328</v>
      </c>
      <c r="I113" s="57">
        <f t="shared" si="18"/>
        <v>86.56</v>
      </c>
      <c r="J113" s="4">
        <v>6000</v>
      </c>
      <c r="K113" s="4">
        <v>6500</v>
      </c>
      <c r="L113" s="8">
        <f t="shared" si="20"/>
        <v>108.33333333333333</v>
      </c>
      <c r="M113" s="58">
        <f t="shared" si="23"/>
        <v>86.56</v>
      </c>
      <c r="N113" s="58">
        <f t="shared" si="26"/>
        <v>83.29484218629715</v>
      </c>
    </row>
    <row r="114" spans="1:14" ht="22.5">
      <c r="A114" s="265"/>
      <c r="B114" s="244"/>
      <c r="C114" s="6" t="s">
        <v>104</v>
      </c>
      <c r="D114" s="9" t="s">
        <v>36</v>
      </c>
      <c r="E114" s="4">
        <v>776.08</v>
      </c>
      <c r="F114" s="4">
        <v>1000</v>
      </c>
      <c r="G114" s="4">
        <v>1000</v>
      </c>
      <c r="H114" s="4">
        <v>72.76</v>
      </c>
      <c r="I114" s="57">
        <f t="shared" si="18"/>
        <v>7.276000000000001</v>
      </c>
      <c r="J114" s="4">
        <v>100</v>
      </c>
      <c r="K114" s="4">
        <v>150</v>
      </c>
      <c r="L114" s="8">
        <f t="shared" si="20"/>
        <v>150</v>
      </c>
      <c r="M114" s="58">
        <f t="shared" si="23"/>
        <v>7.276000000000001</v>
      </c>
      <c r="N114" s="58">
        <f t="shared" si="26"/>
        <v>9.375322131738995</v>
      </c>
    </row>
    <row r="115" spans="1:14" ht="22.5">
      <c r="A115" s="265"/>
      <c r="B115" s="244"/>
      <c r="C115" s="6" t="s">
        <v>120</v>
      </c>
      <c r="D115" s="9"/>
      <c r="E115" s="4">
        <v>27333</v>
      </c>
      <c r="F115" s="4"/>
      <c r="G115" s="4"/>
      <c r="H115" s="4"/>
      <c r="I115" s="57" t="e">
        <f t="shared" si="18"/>
        <v>#DIV/0!</v>
      </c>
      <c r="J115" s="4"/>
      <c r="K115" s="4"/>
      <c r="L115" s="8"/>
      <c r="M115" s="58"/>
      <c r="N115" s="58">
        <f t="shared" si="26"/>
        <v>0</v>
      </c>
    </row>
    <row r="116" spans="1:14" ht="33.75">
      <c r="A116" s="270"/>
      <c r="B116" s="244"/>
      <c r="C116" s="6" t="s">
        <v>89</v>
      </c>
      <c r="D116" s="9" t="s">
        <v>19</v>
      </c>
      <c r="E116" s="4">
        <v>34</v>
      </c>
      <c r="F116" s="4">
        <v>100</v>
      </c>
      <c r="G116" s="4">
        <v>100</v>
      </c>
      <c r="H116" s="4"/>
      <c r="I116" s="57">
        <f t="shared" si="18"/>
        <v>0</v>
      </c>
      <c r="J116" s="4">
        <v>50</v>
      </c>
      <c r="K116" s="4">
        <v>100</v>
      </c>
      <c r="L116" s="8">
        <f t="shared" si="20"/>
        <v>200</v>
      </c>
      <c r="M116" s="58">
        <f>(H116/G116)*100</f>
        <v>0</v>
      </c>
      <c r="N116" s="58">
        <f t="shared" si="26"/>
        <v>0</v>
      </c>
    </row>
    <row r="117" spans="1:14" ht="22.5">
      <c r="A117" s="270"/>
      <c r="B117" s="244"/>
      <c r="C117" s="6" t="s">
        <v>105</v>
      </c>
      <c r="D117" s="9" t="s">
        <v>37</v>
      </c>
      <c r="E117" s="4">
        <v>136981.68</v>
      </c>
      <c r="F117" s="4">
        <v>150000</v>
      </c>
      <c r="G117" s="4">
        <v>150000</v>
      </c>
      <c r="H117" s="4">
        <v>136695.76</v>
      </c>
      <c r="I117" s="57">
        <f t="shared" si="18"/>
        <v>91.13050666666668</v>
      </c>
      <c r="J117" s="4">
        <v>180000</v>
      </c>
      <c r="K117" s="4">
        <v>200000</v>
      </c>
      <c r="L117" s="8">
        <f t="shared" si="20"/>
        <v>111.11111111111111</v>
      </c>
      <c r="M117" s="58">
        <f>(H117/G117)*100</f>
        <v>91.13050666666668</v>
      </c>
      <c r="N117" s="58">
        <f t="shared" si="26"/>
        <v>99.79127135833056</v>
      </c>
    </row>
    <row r="118" spans="1:14" ht="45">
      <c r="A118" s="270"/>
      <c r="B118" s="244"/>
      <c r="C118" s="6" t="s">
        <v>323</v>
      </c>
      <c r="D118" s="9" t="s">
        <v>333</v>
      </c>
      <c r="E118" s="4">
        <v>3402.3</v>
      </c>
      <c r="F118" s="4">
        <v>3000</v>
      </c>
      <c r="G118" s="4">
        <v>3000</v>
      </c>
      <c r="H118" s="4">
        <v>4234.14</v>
      </c>
      <c r="I118" s="57">
        <f t="shared" si="18"/>
        <v>141.138</v>
      </c>
      <c r="J118" s="4">
        <v>5600</v>
      </c>
      <c r="K118" s="4">
        <v>6000</v>
      </c>
      <c r="L118" s="8">
        <f t="shared" si="20"/>
        <v>107.14285714285714</v>
      </c>
      <c r="M118" s="58">
        <f>(H118/G118)*100</f>
        <v>141.138</v>
      </c>
      <c r="N118" s="58">
        <f t="shared" si="26"/>
        <v>124.44934309143815</v>
      </c>
    </row>
    <row r="119" spans="1:14" ht="14.25" customHeight="1">
      <c r="A119" s="270"/>
      <c r="B119" s="244"/>
      <c r="C119" s="6" t="s">
        <v>95</v>
      </c>
      <c r="D119" s="9" t="s">
        <v>20</v>
      </c>
      <c r="E119" s="4"/>
      <c r="F119" s="4"/>
      <c r="G119" s="4"/>
      <c r="H119" s="4"/>
      <c r="I119" s="57" t="e">
        <f t="shared" si="18"/>
        <v>#DIV/0!</v>
      </c>
      <c r="J119" s="4"/>
      <c r="K119" s="4"/>
      <c r="L119" s="8" t="e">
        <f t="shared" si="20"/>
        <v>#DIV/0!</v>
      </c>
      <c r="M119" s="58"/>
      <c r="N119" s="58"/>
    </row>
    <row r="120" spans="1:14" ht="33.75">
      <c r="A120" s="270"/>
      <c r="B120" s="244"/>
      <c r="C120" s="6" t="s">
        <v>99</v>
      </c>
      <c r="D120" s="9" t="s">
        <v>44</v>
      </c>
      <c r="E120" s="4">
        <v>40923.01</v>
      </c>
      <c r="F120" s="4">
        <v>30000</v>
      </c>
      <c r="G120" s="4">
        <v>30000</v>
      </c>
      <c r="H120" s="4">
        <v>37061.47</v>
      </c>
      <c r="I120" s="57">
        <f t="shared" si="18"/>
        <v>123.53823333333334</v>
      </c>
      <c r="J120" s="4">
        <v>50000</v>
      </c>
      <c r="K120" s="4">
        <v>60000</v>
      </c>
      <c r="L120" s="8">
        <f t="shared" si="20"/>
        <v>120</v>
      </c>
      <c r="M120" s="58">
        <f aca="true" t="shared" si="27" ref="M120:M135">(H120/G120)*100</f>
        <v>123.53823333333334</v>
      </c>
      <c r="N120" s="58">
        <f aca="true" t="shared" si="28" ref="N120:N141">(H120/E120)*100</f>
        <v>90.56389058380603</v>
      </c>
    </row>
    <row r="121" spans="1:14" ht="14.25" customHeight="1">
      <c r="A121" s="270"/>
      <c r="B121" s="243">
        <v>75618</v>
      </c>
      <c r="C121" s="6"/>
      <c r="D121" s="7" t="s">
        <v>45</v>
      </c>
      <c r="E121" s="8">
        <f aca="true" t="shared" si="29" ref="E121:K121">E122+E124+E123+E125</f>
        <v>201068.13999999998</v>
      </c>
      <c r="F121" s="8">
        <f t="shared" si="29"/>
        <v>216659.11</v>
      </c>
      <c r="G121" s="8">
        <f t="shared" si="29"/>
        <v>216659.11</v>
      </c>
      <c r="H121" s="8">
        <f t="shared" si="29"/>
        <v>159730.46</v>
      </c>
      <c r="I121" s="57">
        <f t="shared" si="18"/>
        <v>73.72432204673969</v>
      </c>
      <c r="J121" s="8">
        <f t="shared" si="29"/>
        <v>197100</v>
      </c>
      <c r="K121" s="8">
        <f t="shared" si="29"/>
        <v>200700</v>
      </c>
      <c r="L121" s="8">
        <f t="shared" si="20"/>
        <v>101.82648401826484</v>
      </c>
      <c r="M121" s="57">
        <f t="shared" si="27"/>
        <v>73.72432204673969</v>
      </c>
      <c r="N121" s="57">
        <f t="shared" si="28"/>
        <v>79.44095966670801</v>
      </c>
    </row>
    <row r="122" spans="1:14" ht="22.5">
      <c r="A122" s="270"/>
      <c r="B122" s="247"/>
      <c r="C122" s="6" t="s">
        <v>109</v>
      </c>
      <c r="D122" s="9" t="s">
        <v>46</v>
      </c>
      <c r="E122" s="4">
        <v>27418</v>
      </c>
      <c r="F122" s="4">
        <v>35000</v>
      </c>
      <c r="G122" s="4">
        <v>35000</v>
      </c>
      <c r="H122" s="4">
        <v>28595.3</v>
      </c>
      <c r="I122" s="57">
        <f t="shared" si="18"/>
        <v>81.70085714285715</v>
      </c>
      <c r="J122" s="4">
        <v>37000</v>
      </c>
      <c r="K122" s="4">
        <v>40000</v>
      </c>
      <c r="L122" s="8">
        <f t="shared" si="20"/>
        <v>108.10810810810811</v>
      </c>
      <c r="M122" s="58">
        <f t="shared" si="27"/>
        <v>81.70085714285715</v>
      </c>
      <c r="N122" s="58">
        <f t="shared" si="28"/>
        <v>104.29389452184697</v>
      </c>
    </row>
    <row r="123" spans="1:14" ht="22.5">
      <c r="A123" s="270"/>
      <c r="B123" s="247"/>
      <c r="C123" s="6" t="s">
        <v>120</v>
      </c>
      <c r="D123" s="9" t="s">
        <v>126</v>
      </c>
      <c r="E123" s="4">
        <v>54567.6</v>
      </c>
      <c r="F123" s="4">
        <v>65000</v>
      </c>
      <c r="G123" s="4">
        <v>65000</v>
      </c>
      <c r="H123" s="4">
        <v>7478.35</v>
      </c>
      <c r="I123" s="57">
        <f t="shared" si="18"/>
        <v>11.505153846153847</v>
      </c>
      <c r="J123" s="4">
        <v>9500</v>
      </c>
      <c r="K123" s="4">
        <v>10000</v>
      </c>
      <c r="L123" s="8">
        <f t="shared" si="20"/>
        <v>105.26315789473684</v>
      </c>
      <c r="M123" s="58">
        <f t="shared" si="27"/>
        <v>11.505153846153847</v>
      </c>
      <c r="N123" s="58">
        <f t="shared" si="28"/>
        <v>13.704744207185218</v>
      </c>
    </row>
    <row r="124" spans="1:14" ht="33.75">
      <c r="A124" s="270"/>
      <c r="B124" s="244"/>
      <c r="C124" s="6" t="s">
        <v>113</v>
      </c>
      <c r="D124" s="9" t="s">
        <v>64</v>
      </c>
      <c r="E124" s="4">
        <v>118636.54</v>
      </c>
      <c r="F124" s="4">
        <v>116159.11</v>
      </c>
      <c r="G124" s="4">
        <v>116159.11</v>
      </c>
      <c r="H124" s="4">
        <v>123210.81</v>
      </c>
      <c r="I124" s="57">
        <f t="shared" si="18"/>
        <v>106.0707248876132</v>
      </c>
      <c r="J124" s="207">
        <v>150000</v>
      </c>
      <c r="K124" s="4">
        <v>150000</v>
      </c>
      <c r="L124" s="8">
        <f t="shared" si="20"/>
        <v>100</v>
      </c>
      <c r="M124" s="58">
        <f t="shared" si="27"/>
        <v>106.0707248876132</v>
      </c>
      <c r="N124" s="58">
        <f t="shared" si="28"/>
        <v>103.85570078156358</v>
      </c>
    </row>
    <row r="125" spans="1:14" ht="22.5" customHeight="1">
      <c r="A125" s="270"/>
      <c r="B125" s="244"/>
      <c r="C125" s="6" t="s">
        <v>89</v>
      </c>
      <c r="D125" s="9" t="s">
        <v>19</v>
      </c>
      <c r="E125" s="4">
        <v>446</v>
      </c>
      <c r="F125" s="4">
        <v>500</v>
      </c>
      <c r="G125" s="4">
        <v>500</v>
      </c>
      <c r="H125" s="4">
        <v>446</v>
      </c>
      <c r="I125" s="57">
        <f t="shared" si="18"/>
        <v>89.2</v>
      </c>
      <c r="J125" s="207">
        <v>600</v>
      </c>
      <c r="K125" s="4">
        <v>700</v>
      </c>
      <c r="L125" s="8">
        <f t="shared" si="20"/>
        <v>116.66666666666667</v>
      </c>
      <c r="M125" s="58">
        <f t="shared" si="27"/>
        <v>89.2</v>
      </c>
      <c r="N125" s="58">
        <f t="shared" si="28"/>
        <v>100</v>
      </c>
    </row>
    <row r="126" spans="1:14" ht="33" customHeight="1">
      <c r="A126" s="270"/>
      <c r="B126" s="243">
        <v>75621</v>
      </c>
      <c r="C126" s="6"/>
      <c r="D126" s="7" t="s">
        <v>47</v>
      </c>
      <c r="E126" s="192">
        <f aca="true" t="shared" si="30" ref="E126:K126">E127+E128</f>
        <v>3008539.96</v>
      </c>
      <c r="F126" s="8">
        <f t="shared" si="30"/>
        <v>3311794</v>
      </c>
      <c r="G126" s="8">
        <f t="shared" si="30"/>
        <v>3311794</v>
      </c>
      <c r="H126" s="8">
        <f t="shared" si="30"/>
        <v>2492881.35</v>
      </c>
      <c r="I126" s="57">
        <f t="shared" si="18"/>
        <v>75.27283852800024</v>
      </c>
      <c r="J126" s="209">
        <f t="shared" si="30"/>
        <v>3321794</v>
      </c>
      <c r="K126" s="8">
        <f t="shared" si="30"/>
        <v>3836170</v>
      </c>
      <c r="L126" s="8">
        <f t="shared" si="20"/>
        <v>115.48488557689008</v>
      </c>
      <c r="M126" s="57">
        <f t="shared" si="27"/>
        <v>75.27283852800024</v>
      </c>
      <c r="N126" s="57">
        <f t="shared" si="28"/>
        <v>82.86017081853883</v>
      </c>
    </row>
    <row r="127" spans="1:14" ht="23.25" customHeight="1">
      <c r="A127" s="270"/>
      <c r="B127" s="268"/>
      <c r="C127" s="6" t="s">
        <v>110</v>
      </c>
      <c r="D127" s="9" t="s">
        <v>48</v>
      </c>
      <c r="E127" s="4">
        <v>2986453</v>
      </c>
      <c r="F127" s="4">
        <v>3286794</v>
      </c>
      <c r="G127" s="4">
        <v>3286794</v>
      </c>
      <c r="H127" s="4">
        <v>2466654</v>
      </c>
      <c r="I127" s="57">
        <f t="shared" si="18"/>
        <v>75.04741702704824</v>
      </c>
      <c r="J127" s="4">
        <v>3286794</v>
      </c>
      <c r="K127" s="4">
        <v>3796170</v>
      </c>
      <c r="L127" s="8">
        <f t="shared" si="20"/>
        <v>115.49765516183857</v>
      </c>
      <c r="M127" s="58">
        <f t="shared" si="27"/>
        <v>75.04741702704824</v>
      </c>
      <c r="N127" s="58">
        <f t="shared" si="28"/>
        <v>82.59477045177005</v>
      </c>
    </row>
    <row r="128" spans="1:14" ht="22.5">
      <c r="A128" s="270"/>
      <c r="B128" s="271"/>
      <c r="C128" s="6" t="s">
        <v>111</v>
      </c>
      <c r="D128" s="9" t="s">
        <v>49</v>
      </c>
      <c r="E128" s="4">
        <v>22086.96</v>
      </c>
      <c r="F128" s="4">
        <v>25000</v>
      </c>
      <c r="G128" s="4">
        <v>25000</v>
      </c>
      <c r="H128" s="4">
        <v>26227.35</v>
      </c>
      <c r="I128" s="57">
        <f t="shared" si="18"/>
        <v>104.90939999999999</v>
      </c>
      <c r="J128" s="4">
        <v>35000</v>
      </c>
      <c r="K128" s="4">
        <v>40000</v>
      </c>
      <c r="L128" s="8">
        <f t="shared" si="20"/>
        <v>114.28571428571428</v>
      </c>
      <c r="M128" s="58">
        <f t="shared" si="27"/>
        <v>104.90939999999999</v>
      </c>
      <c r="N128" s="58">
        <f t="shared" si="28"/>
        <v>118.74585728411695</v>
      </c>
    </row>
    <row r="129" spans="1:14" ht="21">
      <c r="A129" s="265">
        <v>758</v>
      </c>
      <c r="B129" s="197"/>
      <c r="C129" s="6"/>
      <c r="D129" s="7" t="s">
        <v>50</v>
      </c>
      <c r="E129" s="192">
        <f aca="true" t="shared" si="31" ref="E129:K129">E130+E132+E134+E139</f>
        <v>11343297.51</v>
      </c>
      <c r="F129" s="8">
        <f t="shared" si="31"/>
        <v>11684204</v>
      </c>
      <c r="G129" s="8">
        <f t="shared" si="31"/>
        <v>11970804.63</v>
      </c>
      <c r="H129" s="8">
        <f t="shared" si="31"/>
        <v>9752719.43</v>
      </c>
      <c r="I129" s="57">
        <f t="shared" si="18"/>
        <v>81.4708762814384</v>
      </c>
      <c r="J129" s="8">
        <f t="shared" si="31"/>
        <v>11968404.63</v>
      </c>
      <c r="K129" s="8">
        <f t="shared" si="31"/>
        <v>12885220</v>
      </c>
      <c r="L129" s="8">
        <f t="shared" si="20"/>
        <v>107.66029724381067</v>
      </c>
      <c r="M129" s="57">
        <f t="shared" si="27"/>
        <v>81.4708762814384</v>
      </c>
      <c r="N129" s="57">
        <f t="shared" si="28"/>
        <v>85.97781572247592</v>
      </c>
    </row>
    <row r="130" spans="1:14" ht="31.5">
      <c r="A130" s="265"/>
      <c r="B130" s="197">
        <v>75801</v>
      </c>
      <c r="C130" s="6"/>
      <c r="D130" s="7" t="s">
        <v>51</v>
      </c>
      <c r="E130" s="192">
        <f aca="true" t="shared" si="32" ref="E130:K130">E131</f>
        <v>7690349</v>
      </c>
      <c r="F130" s="8">
        <f t="shared" si="32"/>
        <v>7544070</v>
      </c>
      <c r="G130" s="8">
        <f t="shared" si="32"/>
        <v>7838580</v>
      </c>
      <c r="H130" s="8">
        <f t="shared" si="32"/>
        <v>6632648</v>
      </c>
      <c r="I130" s="57">
        <f t="shared" si="18"/>
        <v>84.61542779431988</v>
      </c>
      <c r="J130" s="8">
        <f t="shared" si="32"/>
        <v>7838580</v>
      </c>
      <c r="K130" s="8">
        <f t="shared" si="32"/>
        <v>8032524</v>
      </c>
      <c r="L130" s="8">
        <f t="shared" si="20"/>
        <v>102.47422364765046</v>
      </c>
      <c r="M130" s="57">
        <f t="shared" si="27"/>
        <v>84.61542779431988</v>
      </c>
      <c r="N130" s="57">
        <f t="shared" si="28"/>
        <v>86.24638491699142</v>
      </c>
    </row>
    <row r="131" spans="1:14" ht="22.5">
      <c r="A131" s="265"/>
      <c r="B131" s="197"/>
      <c r="C131" s="6">
        <v>2920</v>
      </c>
      <c r="D131" s="9" t="s">
        <v>52</v>
      </c>
      <c r="E131" s="4">
        <v>7690349</v>
      </c>
      <c r="F131" s="4">
        <v>7544070</v>
      </c>
      <c r="G131" s="4">
        <v>7838580</v>
      </c>
      <c r="H131" s="4">
        <v>6632648</v>
      </c>
      <c r="I131" s="57">
        <f t="shared" si="18"/>
        <v>84.61542779431988</v>
      </c>
      <c r="J131" s="4">
        <v>7838580</v>
      </c>
      <c r="K131" s="4">
        <v>8032524</v>
      </c>
      <c r="L131" s="8">
        <f t="shared" si="20"/>
        <v>102.47422364765046</v>
      </c>
      <c r="M131" s="58">
        <f t="shared" si="27"/>
        <v>84.61542779431988</v>
      </c>
      <c r="N131" s="58">
        <f t="shared" si="28"/>
        <v>86.24638491699142</v>
      </c>
    </row>
    <row r="132" spans="1:14" ht="31.5">
      <c r="A132" s="265"/>
      <c r="B132" s="197">
        <v>75807</v>
      </c>
      <c r="C132" s="6"/>
      <c r="D132" s="7" t="s">
        <v>53</v>
      </c>
      <c r="E132" s="192">
        <f aca="true" t="shared" si="33" ref="E132:K132">E133</f>
        <v>3527643</v>
      </c>
      <c r="F132" s="8">
        <f t="shared" si="33"/>
        <v>3994517</v>
      </c>
      <c r="G132" s="8">
        <f t="shared" si="33"/>
        <v>3994517</v>
      </c>
      <c r="H132" s="8">
        <f t="shared" si="33"/>
        <v>2995884</v>
      </c>
      <c r="I132" s="57">
        <f t="shared" si="18"/>
        <v>74.9999061213158</v>
      </c>
      <c r="J132" s="8">
        <f t="shared" si="33"/>
        <v>3994517</v>
      </c>
      <c r="K132" s="8">
        <f t="shared" si="33"/>
        <v>4726601</v>
      </c>
      <c r="L132" s="8">
        <f t="shared" si="20"/>
        <v>118.32722203961079</v>
      </c>
      <c r="M132" s="57">
        <f t="shared" si="27"/>
        <v>74.9999061213158</v>
      </c>
      <c r="N132" s="57">
        <f t="shared" si="28"/>
        <v>84.9259406351493</v>
      </c>
    </row>
    <row r="133" spans="1:14" ht="22.5">
      <c r="A133" s="265"/>
      <c r="B133" s="197"/>
      <c r="C133" s="6">
        <v>2920</v>
      </c>
      <c r="D133" s="9" t="s">
        <v>52</v>
      </c>
      <c r="E133" s="4">
        <v>3527643</v>
      </c>
      <c r="F133" s="4">
        <v>3994517</v>
      </c>
      <c r="G133" s="4">
        <v>3994517</v>
      </c>
      <c r="H133" s="4">
        <v>2995884</v>
      </c>
      <c r="I133" s="57">
        <f t="shared" si="18"/>
        <v>74.9999061213158</v>
      </c>
      <c r="J133" s="4">
        <v>3994517</v>
      </c>
      <c r="K133" s="4">
        <v>4726601</v>
      </c>
      <c r="L133" s="8">
        <f t="shared" si="20"/>
        <v>118.32722203961079</v>
      </c>
      <c r="M133" s="58">
        <f t="shared" si="27"/>
        <v>74.9999061213158</v>
      </c>
      <c r="N133" s="58">
        <f t="shared" si="28"/>
        <v>84.9259406351493</v>
      </c>
    </row>
    <row r="134" spans="1:14" ht="21">
      <c r="A134" s="265"/>
      <c r="B134" s="197">
        <v>75814</v>
      </c>
      <c r="C134" s="6"/>
      <c r="D134" s="7" t="s">
        <v>54</v>
      </c>
      <c r="E134" s="8">
        <f aca="true" t="shared" si="34" ref="E134:K134">E135+E136+E137+E138</f>
        <v>97360.51000000001</v>
      </c>
      <c r="F134" s="8">
        <f t="shared" si="34"/>
        <v>105807</v>
      </c>
      <c r="G134" s="8">
        <f t="shared" si="34"/>
        <v>97897.63</v>
      </c>
      <c r="H134" s="8">
        <f t="shared" si="34"/>
        <v>94325.43</v>
      </c>
      <c r="I134" s="57">
        <f t="shared" si="18"/>
        <v>96.35108633375495</v>
      </c>
      <c r="J134" s="8">
        <f t="shared" si="34"/>
        <v>95497.63</v>
      </c>
      <c r="K134" s="8">
        <f t="shared" si="34"/>
        <v>94100</v>
      </c>
      <c r="L134" s="8">
        <f t="shared" si="20"/>
        <v>98.53647676910936</v>
      </c>
      <c r="M134" s="57">
        <f t="shared" si="27"/>
        <v>96.35108633375495</v>
      </c>
      <c r="N134" s="57">
        <f t="shared" si="28"/>
        <v>96.88263752932271</v>
      </c>
    </row>
    <row r="135" spans="1:14" ht="22.5">
      <c r="A135" s="265"/>
      <c r="B135" s="197"/>
      <c r="C135" s="6" t="s">
        <v>93</v>
      </c>
      <c r="D135" s="9" t="s">
        <v>16</v>
      </c>
      <c r="E135" s="4">
        <v>3266.05</v>
      </c>
      <c r="F135" s="4">
        <v>4000</v>
      </c>
      <c r="G135" s="4">
        <v>4000</v>
      </c>
      <c r="H135" s="4">
        <v>927.8</v>
      </c>
      <c r="I135" s="57">
        <f t="shared" si="18"/>
        <v>23.195</v>
      </c>
      <c r="J135" s="4">
        <v>2000</v>
      </c>
      <c r="K135" s="4">
        <v>4000</v>
      </c>
      <c r="L135" s="8">
        <f t="shared" si="20"/>
        <v>200</v>
      </c>
      <c r="M135" s="58">
        <f t="shared" si="27"/>
        <v>23.195</v>
      </c>
      <c r="N135" s="58">
        <f t="shared" si="28"/>
        <v>28.407403438404184</v>
      </c>
    </row>
    <row r="136" spans="1:14" ht="33.75">
      <c r="A136" s="265"/>
      <c r="B136" s="197"/>
      <c r="C136" s="6" t="s">
        <v>325</v>
      </c>
      <c r="D136" s="9" t="s">
        <v>339</v>
      </c>
      <c r="E136" s="4">
        <v>350.09</v>
      </c>
      <c r="F136" s="4">
        <v>500</v>
      </c>
      <c r="G136" s="4">
        <v>500</v>
      </c>
      <c r="H136" s="4"/>
      <c r="I136" s="57">
        <f aca="true" t="shared" si="35" ref="I136:I199">H136/G136*100</f>
        <v>0</v>
      </c>
      <c r="J136" s="4">
        <v>100</v>
      </c>
      <c r="K136" s="4">
        <v>100</v>
      </c>
      <c r="L136" s="8">
        <f t="shared" si="20"/>
        <v>100</v>
      </c>
      <c r="M136" s="58"/>
      <c r="N136" s="58">
        <f t="shared" si="28"/>
        <v>0</v>
      </c>
    </row>
    <row r="137" spans="1:14" ht="22.5">
      <c r="A137" s="265"/>
      <c r="B137" s="197"/>
      <c r="C137" s="6" t="s">
        <v>112</v>
      </c>
      <c r="D137" s="9"/>
      <c r="E137" s="4">
        <v>13766.02</v>
      </c>
      <c r="F137" s="4">
        <v>14444.98</v>
      </c>
      <c r="G137" s="4">
        <v>11327.88</v>
      </c>
      <c r="H137" s="4">
        <v>11327.88</v>
      </c>
      <c r="I137" s="57">
        <f t="shared" si="35"/>
        <v>100</v>
      </c>
      <c r="J137" s="4">
        <v>11327.88</v>
      </c>
      <c r="K137" s="207">
        <v>15000</v>
      </c>
      <c r="L137" s="8">
        <f t="shared" si="20"/>
        <v>132.4166569561118</v>
      </c>
      <c r="M137" s="58"/>
      <c r="N137" s="58">
        <f t="shared" si="28"/>
        <v>82.28870799257882</v>
      </c>
    </row>
    <row r="138" spans="1:14" ht="22.5">
      <c r="A138" s="265"/>
      <c r="B138" s="197"/>
      <c r="C138" s="6" t="s">
        <v>291</v>
      </c>
      <c r="D138" s="9"/>
      <c r="E138" s="4">
        <v>79978.35</v>
      </c>
      <c r="F138" s="4">
        <v>86862.02</v>
      </c>
      <c r="G138" s="4">
        <v>82069.75</v>
      </c>
      <c r="H138" s="4">
        <v>82069.75</v>
      </c>
      <c r="I138" s="57">
        <f t="shared" si="35"/>
        <v>100</v>
      </c>
      <c r="J138" s="4">
        <v>82069.75</v>
      </c>
      <c r="K138" s="207">
        <v>75000</v>
      </c>
      <c r="L138" s="8">
        <f t="shared" si="20"/>
        <v>91.38568108225016</v>
      </c>
      <c r="M138" s="58"/>
      <c r="N138" s="58">
        <f t="shared" si="28"/>
        <v>102.61495767292024</v>
      </c>
    </row>
    <row r="139" spans="1:14" ht="33.75">
      <c r="A139" s="270"/>
      <c r="B139" s="197" t="s">
        <v>114</v>
      </c>
      <c r="C139" s="6"/>
      <c r="D139" s="9" t="s">
        <v>127</v>
      </c>
      <c r="E139" s="8">
        <f aca="true" t="shared" si="36" ref="E139:K139">E140</f>
        <v>27945</v>
      </c>
      <c r="F139" s="8">
        <f t="shared" si="36"/>
        <v>39810</v>
      </c>
      <c r="G139" s="8">
        <f t="shared" si="36"/>
        <v>39810</v>
      </c>
      <c r="H139" s="8">
        <f t="shared" si="36"/>
        <v>29862</v>
      </c>
      <c r="I139" s="57">
        <f t="shared" si="35"/>
        <v>75.01130369253957</v>
      </c>
      <c r="J139" s="8">
        <f t="shared" si="36"/>
        <v>39810</v>
      </c>
      <c r="K139" s="8">
        <f t="shared" si="36"/>
        <v>31995</v>
      </c>
      <c r="L139" s="8">
        <f t="shared" si="20"/>
        <v>80.36925395629238</v>
      </c>
      <c r="M139" s="58">
        <f aca="true" t="shared" si="37" ref="M139:M150">(H139/G139)*100</f>
        <v>75.01130369253957</v>
      </c>
      <c r="N139" s="57">
        <f t="shared" si="28"/>
        <v>106.85990338164251</v>
      </c>
    </row>
    <row r="140" spans="1:14" ht="24" customHeight="1">
      <c r="A140" s="270"/>
      <c r="B140" s="197"/>
      <c r="C140" s="6" t="s">
        <v>115</v>
      </c>
      <c r="D140" s="9" t="str">
        <f>D131</f>
        <v>Subwencje ogólne z budżetu państwa</v>
      </c>
      <c r="E140" s="4">
        <v>27945</v>
      </c>
      <c r="F140" s="4">
        <v>39810</v>
      </c>
      <c r="G140" s="4">
        <v>39810</v>
      </c>
      <c r="H140" s="4">
        <v>29862</v>
      </c>
      <c r="I140" s="57">
        <f t="shared" si="35"/>
        <v>75.01130369253957</v>
      </c>
      <c r="J140" s="4">
        <v>39810</v>
      </c>
      <c r="K140" s="4">
        <v>31995</v>
      </c>
      <c r="L140" s="8">
        <f t="shared" si="20"/>
        <v>80.36925395629238</v>
      </c>
      <c r="M140" s="58">
        <f t="shared" si="37"/>
        <v>75.01130369253957</v>
      </c>
      <c r="N140" s="58">
        <f t="shared" si="28"/>
        <v>106.85990338164251</v>
      </c>
    </row>
    <row r="141" spans="1:14" ht="21">
      <c r="A141" s="238">
        <v>801</v>
      </c>
      <c r="B141" s="197"/>
      <c r="C141" s="6"/>
      <c r="D141" s="7" t="s">
        <v>55</v>
      </c>
      <c r="E141" s="192">
        <f aca="true" t="shared" si="38" ref="E141:K141">E142+E154+E163+E172+E175+E152+E188+E186+E184</f>
        <v>1172968.88</v>
      </c>
      <c r="F141" s="8">
        <f t="shared" si="38"/>
        <v>888480.77</v>
      </c>
      <c r="G141" s="8">
        <f>G142+G152+G154+G161+G163+G175+G184+G186+G190+G195</f>
        <v>1245705.54</v>
      </c>
      <c r="H141" s="8">
        <f>H142+H152+H154+H161+H163+H175+H184+H186+H190+H195</f>
        <v>532614.14</v>
      </c>
      <c r="I141" s="57">
        <f t="shared" si="35"/>
        <v>42.75602242244182</v>
      </c>
      <c r="J141" s="8">
        <f t="shared" si="38"/>
        <v>452700.17000000004</v>
      </c>
      <c r="K141" s="8">
        <f t="shared" si="38"/>
        <v>212850</v>
      </c>
      <c r="L141" s="8">
        <f t="shared" si="20"/>
        <v>47.017874987765076</v>
      </c>
      <c r="M141" s="57">
        <f t="shared" si="37"/>
        <v>42.75602242244182</v>
      </c>
      <c r="N141" s="57">
        <f t="shared" si="28"/>
        <v>45.40735471174649</v>
      </c>
    </row>
    <row r="142" spans="1:14" ht="12.75">
      <c r="A142" s="239"/>
      <c r="B142" s="243">
        <v>80101</v>
      </c>
      <c r="C142" s="6"/>
      <c r="D142" s="7" t="s">
        <v>56</v>
      </c>
      <c r="E142" s="8">
        <f aca="true" t="shared" si="39" ref="E142:K142">E143+E144+E145+E146+E148+E147+E150+E149</f>
        <v>336728.5</v>
      </c>
      <c r="F142" s="8">
        <f t="shared" si="39"/>
        <v>476170.57</v>
      </c>
      <c r="G142" s="8">
        <f>G143+G144+G145+G146+G148+G147+G150+G149+G151</f>
        <v>515534.52</v>
      </c>
      <c r="H142" s="8">
        <f>H143+H144+H145+H146+H148+H147+H150+H149+H151</f>
        <v>42211.41</v>
      </c>
      <c r="I142" s="57">
        <f t="shared" si="35"/>
        <v>8.187892054250801</v>
      </c>
      <c r="J142" s="8">
        <f t="shared" si="39"/>
        <v>54150</v>
      </c>
      <c r="K142" s="8">
        <f t="shared" si="39"/>
        <v>4700</v>
      </c>
      <c r="L142" s="8">
        <f t="shared" si="20"/>
        <v>8.679593721144968</v>
      </c>
      <c r="M142" s="57">
        <f t="shared" si="37"/>
        <v>8.187892054250801</v>
      </c>
      <c r="N142" s="57"/>
    </row>
    <row r="143" spans="1:14" ht="67.5" customHeight="1">
      <c r="A143" s="239"/>
      <c r="B143" s="244"/>
      <c r="C143" s="6" t="s">
        <v>91</v>
      </c>
      <c r="D143" s="9" t="s">
        <v>57</v>
      </c>
      <c r="E143" s="4">
        <v>2962.12</v>
      </c>
      <c r="F143" s="4">
        <v>2900</v>
      </c>
      <c r="G143" s="4">
        <v>2900</v>
      </c>
      <c r="H143" s="4">
        <v>1931.46</v>
      </c>
      <c r="I143" s="57">
        <f t="shared" si="35"/>
        <v>66.60206896551725</v>
      </c>
      <c r="J143" s="4">
        <v>2800</v>
      </c>
      <c r="K143" s="4">
        <v>3000</v>
      </c>
      <c r="L143" s="8">
        <f t="shared" si="20"/>
        <v>107.14285714285714</v>
      </c>
      <c r="M143" s="58">
        <f t="shared" si="37"/>
        <v>66.60206896551725</v>
      </c>
      <c r="N143" s="58">
        <f>(H143/E143)*100</f>
        <v>65.20532591522289</v>
      </c>
    </row>
    <row r="144" spans="1:14" ht="22.5">
      <c r="A144" s="239"/>
      <c r="B144" s="244"/>
      <c r="C144" s="6" t="s">
        <v>93</v>
      </c>
      <c r="D144" s="9" t="s">
        <v>16</v>
      </c>
      <c r="E144" s="4">
        <v>485.07</v>
      </c>
      <c r="F144" s="4">
        <v>100</v>
      </c>
      <c r="G144" s="4">
        <v>100</v>
      </c>
      <c r="H144" s="4">
        <v>96.92</v>
      </c>
      <c r="I144" s="57">
        <f t="shared" si="35"/>
        <v>96.92</v>
      </c>
      <c r="J144" s="4">
        <v>150</v>
      </c>
      <c r="K144" s="4">
        <v>200</v>
      </c>
      <c r="L144" s="8">
        <f t="shared" si="20"/>
        <v>133.33333333333331</v>
      </c>
      <c r="M144" s="58">
        <f t="shared" si="37"/>
        <v>96.92</v>
      </c>
      <c r="N144" s="58"/>
    </row>
    <row r="145" spans="1:14" ht="22.5">
      <c r="A145" s="239"/>
      <c r="B145" s="244"/>
      <c r="C145" s="6" t="s">
        <v>90</v>
      </c>
      <c r="D145" s="9" t="s">
        <v>7</v>
      </c>
      <c r="E145" s="4">
        <v>670.43</v>
      </c>
      <c r="F145" s="4">
        <v>490</v>
      </c>
      <c r="G145" s="4">
        <v>490</v>
      </c>
      <c r="H145" s="4">
        <v>819.08</v>
      </c>
      <c r="I145" s="57">
        <f t="shared" si="35"/>
        <v>167.1591836734694</v>
      </c>
      <c r="J145" s="4">
        <v>1200</v>
      </c>
      <c r="K145" s="4">
        <v>1500</v>
      </c>
      <c r="L145" s="8">
        <f t="shared" si="20"/>
        <v>125</v>
      </c>
      <c r="M145" s="58">
        <f t="shared" si="37"/>
        <v>167.1591836734694</v>
      </c>
      <c r="N145" s="58">
        <f>(H145/E145)*100</f>
        <v>122.17233715675016</v>
      </c>
    </row>
    <row r="146" spans="1:14" ht="35.25" customHeight="1">
      <c r="A146" s="239"/>
      <c r="B146" s="244"/>
      <c r="C146" s="6" t="s">
        <v>191</v>
      </c>
      <c r="D146" s="9" t="s">
        <v>146</v>
      </c>
      <c r="E146" s="4">
        <v>230935.99</v>
      </c>
      <c r="F146" s="4">
        <v>472680.57</v>
      </c>
      <c r="G146" s="4">
        <v>21049</v>
      </c>
      <c r="H146" s="4">
        <v>21049</v>
      </c>
      <c r="I146" s="57">
        <f t="shared" si="35"/>
        <v>100</v>
      </c>
      <c r="J146" s="207">
        <v>30000</v>
      </c>
      <c r="K146" s="4"/>
      <c r="L146" s="8">
        <f t="shared" si="20"/>
        <v>0</v>
      </c>
      <c r="M146" s="58">
        <f t="shared" si="37"/>
        <v>100</v>
      </c>
      <c r="N146" s="58"/>
    </row>
    <row r="147" spans="1:14" ht="36.75" customHeight="1">
      <c r="A147" s="239"/>
      <c r="B147" s="244"/>
      <c r="C147" s="6" t="s">
        <v>152</v>
      </c>
      <c r="D147" s="9" t="s">
        <v>146</v>
      </c>
      <c r="E147" s="4">
        <v>9328.46</v>
      </c>
      <c r="F147" s="4"/>
      <c r="G147" s="4">
        <v>18314.95</v>
      </c>
      <c r="H147" s="4">
        <v>18314.95</v>
      </c>
      <c r="I147" s="57">
        <f t="shared" si="35"/>
        <v>100</v>
      </c>
      <c r="J147" s="207">
        <v>20000</v>
      </c>
      <c r="K147" s="4"/>
      <c r="L147" s="8">
        <f aca="true" t="shared" si="40" ref="L147:L220">K147/J147*100</f>
        <v>0</v>
      </c>
      <c r="M147" s="58">
        <f t="shared" si="37"/>
        <v>100</v>
      </c>
      <c r="N147" s="58"/>
    </row>
    <row r="148" spans="1:14" ht="48" customHeight="1">
      <c r="A148" s="239"/>
      <c r="B148" s="244"/>
      <c r="C148" s="6" t="s">
        <v>117</v>
      </c>
      <c r="D148" s="9" t="s">
        <v>23</v>
      </c>
      <c r="E148" s="4">
        <v>59643.75</v>
      </c>
      <c r="F148" s="4"/>
      <c r="G148" s="4"/>
      <c r="H148" s="4"/>
      <c r="I148" s="57" t="e">
        <f t="shared" si="35"/>
        <v>#DIV/0!</v>
      </c>
      <c r="J148" s="4"/>
      <c r="K148" s="4"/>
      <c r="L148" s="8" t="e">
        <f t="shared" si="40"/>
        <v>#DIV/0!</v>
      </c>
      <c r="M148" s="58" t="e">
        <f t="shared" si="37"/>
        <v>#DIV/0!</v>
      </c>
      <c r="N148" s="58">
        <f>(H148/E148)*100</f>
        <v>0</v>
      </c>
    </row>
    <row r="149" spans="1:14" ht="16.5" customHeight="1">
      <c r="A149" s="239"/>
      <c r="B149" s="244"/>
      <c r="C149" s="6" t="s">
        <v>112</v>
      </c>
      <c r="D149" s="9"/>
      <c r="E149" s="4">
        <v>32700</v>
      </c>
      <c r="F149" s="4"/>
      <c r="G149" s="4"/>
      <c r="H149" s="4"/>
      <c r="I149" s="57" t="e">
        <f t="shared" si="35"/>
        <v>#DIV/0!</v>
      </c>
      <c r="J149" s="4"/>
      <c r="K149" s="4"/>
      <c r="L149" s="8" t="e">
        <f t="shared" si="40"/>
        <v>#DIV/0!</v>
      </c>
      <c r="M149" s="58" t="e">
        <f t="shared" si="37"/>
        <v>#DIV/0!</v>
      </c>
      <c r="N149" s="58"/>
    </row>
    <row r="150" spans="1:14" ht="30.75" customHeight="1">
      <c r="A150" s="239"/>
      <c r="B150" s="245"/>
      <c r="C150" s="6" t="s">
        <v>347</v>
      </c>
      <c r="D150" s="9"/>
      <c r="E150" s="4">
        <v>2.68</v>
      </c>
      <c r="F150" s="4"/>
      <c r="G150" s="4"/>
      <c r="H150" s="4"/>
      <c r="I150" s="57" t="e">
        <f t="shared" si="35"/>
        <v>#DIV/0!</v>
      </c>
      <c r="J150" s="4"/>
      <c r="K150" s="4"/>
      <c r="L150" s="8" t="e">
        <f t="shared" si="40"/>
        <v>#DIV/0!</v>
      </c>
      <c r="M150" s="58" t="e">
        <f t="shared" si="37"/>
        <v>#DIV/0!</v>
      </c>
      <c r="N150" s="58"/>
    </row>
    <row r="151" spans="1:14" ht="30.75" customHeight="1">
      <c r="A151" s="239"/>
      <c r="B151" s="198"/>
      <c r="C151" s="6" t="s">
        <v>193</v>
      </c>
      <c r="D151" s="9"/>
      <c r="E151" s="4"/>
      <c r="F151" s="4"/>
      <c r="G151" s="4">
        <v>472680.57</v>
      </c>
      <c r="H151" s="4"/>
      <c r="I151" s="57">
        <f t="shared" si="35"/>
        <v>0</v>
      </c>
      <c r="J151" s="4"/>
      <c r="K151" s="4"/>
      <c r="L151" s="8"/>
      <c r="M151" s="58"/>
      <c r="N151" s="58"/>
    </row>
    <row r="152" spans="1:14" s="52" customFormat="1" ht="24" customHeight="1">
      <c r="A152" s="239"/>
      <c r="B152" s="248">
        <v>80103</v>
      </c>
      <c r="C152" s="5"/>
      <c r="D152" s="7" t="s">
        <v>255</v>
      </c>
      <c r="E152" s="8">
        <f aca="true" t="shared" si="41" ref="E152:K152">E153</f>
        <v>46384</v>
      </c>
      <c r="F152" s="8">
        <f t="shared" si="41"/>
        <v>0</v>
      </c>
      <c r="G152" s="8">
        <f t="shared" si="41"/>
        <v>35620</v>
      </c>
      <c r="H152" s="8">
        <f t="shared" si="41"/>
        <v>26714</v>
      </c>
      <c r="I152" s="57">
        <f t="shared" si="35"/>
        <v>74.99719258843346</v>
      </c>
      <c r="J152" s="8">
        <f t="shared" si="41"/>
        <v>35620</v>
      </c>
      <c r="K152" s="8">
        <f t="shared" si="41"/>
        <v>40000</v>
      </c>
      <c r="L152" s="8">
        <f t="shared" si="40"/>
        <v>112.29646266142616</v>
      </c>
      <c r="M152" s="57">
        <f aca="true" t="shared" si="42" ref="M152:M159">(H152/G152)*100</f>
        <v>74.99719258843346</v>
      </c>
      <c r="N152" s="57">
        <f>(H152/E152)*100</f>
        <v>57.59313556398759</v>
      </c>
    </row>
    <row r="153" spans="1:14" s="51" customFormat="1" ht="45.75" customHeight="1">
      <c r="A153" s="239"/>
      <c r="B153" s="245"/>
      <c r="C153" s="6" t="s">
        <v>112</v>
      </c>
      <c r="D153" s="9" t="s">
        <v>71</v>
      </c>
      <c r="E153" s="4">
        <v>46384</v>
      </c>
      <c r="F153" s="4"/>
      <c r="G153" s="4">
        <v>35620</v>
      </c>
      <c r="H153" s="4">
        <v>26714</v>
      </c>
      <c r="I153" s="57">
        <f t="shared" si="35"/>
        <v>74.99719258843346</v>
      </c>
      <c r="J153" s="207">
        <v>35620</v>
      </c>
      <c r="K153" s="207">
        <v>40000</v>
      </c>
      <c r="L153" s="8">
        <f t="shared" si="40"/>
        <v>112.29646266142616</v>
      </c>
      <c r="M153" s="58">
        <f t="shared" si="42"/>
        <v>74.99719258843346</v>
      </c>
      <c r="N153" s="58">
        <f>(H153/E153)*100</f>
        <v>57.59313556398759</v>
      </c>
    </row>
    <row r="154" spans="1:14" ht="12.75">
      <c r="A154" s="239"/>
      <c r="B154" s="243">
        <v>80104</v>
      </c>
      <c r="C154" s="6"/>
      <c r="D154" s="7" t="s">
        <v>59</v>
      </c>
      <c r="E154" s="8">
        <f>E156+E157+E158+E159+E155+E160+E161</f>
        <v>158480.36</v>
      </c>
      <c r="F154" s="8">
        <f>F156+F157+F158+F159+F155+F160</f>
        <v>108616</v>
      </c>
      <c r="G154" s="8">
        <f>G156+G157+G158+G159+G155+G160</f>
        <v>233286</v>
      </c>
      <c r="H154" s="8">
        <f>H156+H157+H158+H159+H155+H160</f>
        <v>117123.48</v>
      </c>
      <c r="I154" s="57">
        <f t="shared" si="35"/>
        <v>50.2059617808184</v>
      </c>
      <c r="J154" s="8">
        <f>J156+J157+J158+J159+J155+J160</f>
        <v>154670</v>
      </c>
      <c r="K154" s="8">
        <f>K156+K157+K158+K159+K155+K160</f>
        <v>165000</v>
      </c>
      <c r="L154" s="8">
        <f t="shared" si="40"/>
        <v>106.6787353720825</v>
      </c>
      <c r="M154" s="57">
        <f t="shared" si="42"/>
        <v>50.2059617808184</v>
      </c>
      <c r="N154" s="57">
        <f>(H154/E154)*100</f>
        <v>73.90409764339253</v>
      </c>
    </row>
    <row r="155" spans="1:14" ht="22.5">
      <c r="A155" s="239"/>
      <c r="B155" s="247"/>
      <c r="C155" s="6" t="s">
        <v>96</v>
      </c>
      <c r="D155" s="9" t="s">
        <v>25</v>
      </c>
      <c r="E155" s="4">
        <v>37614.36</v>
      </c>
      <c r="F155" s="4">
        <v>45000</v>
      </c>
      <c r="G155" s="4"/>
      <c r="H155" s="4"/>
      <c r="I155" s="57" t="e">
        <f t="shared" si="35"/>
        <v>#DIV/0!</v>
      </c>
      <c r="J155" s="4"/>
      <c r="K155" s="4"/>
      <c r="L155" s="8" t="e">
        <f t="shared" si="40"/>
        <v>#DIV/0!</v>
      </c>
      <c r="M155" s="58" t="e">
        <f t="shared" si="42"/>
        <v>#DIV/0!</v>
      </c>
      <c r="N155" s="58"/>
    </row>
    <row r="156" spans="1:14" ht="22.5">
      <c r="A156" s="239"/>
      <c r="B156" s="244"/>
      <c r="C156" s="6" t="s">
        <v>93</v>
      </c>
      <c r="D156" s="9" t="s">
        <v>16</v>
      </c>
      <c r="E156" s="4"/>
      <c r="F156" s="4"/>
      <c r="G156" s="4">
        <v>45000</v>
      </c>
      <c r="H156" s="4">
        <v>23621.48</v>
      </c>
      <c r="I156" s="57">
        <f t="shared" si="35"/>
        <v>52.49217777777778</v>
      </c>
      <c r="J156" s="4">
        <v>30000</v>
      </c>
      <c r="K156" s="4">
        <v>35000</v>
      </c>
      <c r="L156" s="8">
        <f t="shared" si="40"/>
        <v>116.66666666666667</v>
      </c>
      <c r="M156" s="58">
        <f t="shared" si="42"/>
        <v>52.49217777777778</v>
      </c>
      <c r="N156" s="58" t="e">
        <f>(H156/E156)*100</f>
        <v>#DIV/0!</v>
      </c>
    </row>
    <row r="157" spans="1:14" ht="22.5">
      <c r="A157" s="239"/>
      <c r="B157" s="244"/>
      <c r="C157" s="6" t="s">
        <v>90</v>
      </c>
      <c r="D157" s="9" t="s">
        <v>7</v>
      </c>
      <c r="E157" s="4"/>
      <c r="F157" s="4"/>
      <c r="G157" s="4"/>
      <c r="H157" s="4"/>
      <c r="I157" s="57" t="e">
        <f t="shared" si="35"/>
        <v>#DIV/0!</v>
      </c>
      <c r="J157" s="4"/>
      <c r="K157" s="4"/>
      <c r="L157" s="8" t="e">
        <f t="shared" si="40"/>
        <v>#DIV/0!</v>
      </c>
      <c r="M157" s="58" t="e">
        <f t="shared" si="42"/>
        <v>#DIV/0!</v>
      </c>
      <c r="N157" s="58" t="e">
        <f>(H157/E157)*100</f>
        <v>#DIV/0!</v>
      </c>
    </row>
    <row r="158" spans="1:14" ht="35.25" customHeight="1">
      <c r="A158" s="239"/>
      <c r="B158" s="244"/>
      <c r="C158" s="126" t="s">
        <v>191</v>
      </c>
      <c r="D158" s="9" t="s">
        <v>146</v>
      </c>
      <c r="E158" s="4"/>
      <c r="F158" s="4"/>
      <c r="G158" s="4"/>
      <c r="H158" s="4"/>
      <c r="I158" s="57" t="e">
        <f t="shared" si="35"/>
        <v>#DIV/0!</v>
      </c>
      <c r="J158" s="4"/>
      <c r="K158" s="4"/>
      <c r="L158" s="8" t="e">
        <f t="shared" si="40"/>
        <v>#DIV/0!</v>
      </c>
      <c r="M158" s="58" t="e">
        <f t="shared" si="42"/>
        <v>#DIV/0!</v>
      </c>
      <c r="N158" s="58"/>
    </row>
    <row r="159" spans="1:14" ht="42.75" customHeight="1">
      <c r="A159" s="239"/>
      <c r="B159" s="245"/>
      <c r="C159" s="126" t="s">
        <v>112</v>
      </c>
      <c r="D159" s="9" t="s">
        <v>71</v>
      </c>
      <c r="E159" s="4">
        <v>120531.5</v>
      </c>
      <c r="F159" s="4"/>
      <c r="G159" s="4">
        <v>124670</v>
      </c>
      <c r="H159" s="4">
        <v>93502</v>
      </c>
      <c r="I159" s="57">
        <f t="shared" si="35"/>
        <v>74.99959894120478</v>
      </c>
      <c r="J159" s="207">
        <v>124670</v>
      </c>
      <c r="K159" s="207">
        <v>130000</v>
      </c>
      <c r="L159" s="8">
        <f t="shared" si="40"/>
        <v>104.27528675703859</v>
      </c>
      <c r="M159" s="58">
        <f t="shared" si="42"/>
        <v>74.99959894120478</v>
      </c>
      <c r="N159" s="58">
        <f>(H159/E159)*100</f>
        <v>77.57474187245657</v>
      </c>
    </row>
    <row r="160" spans="1:14" ht="66.75" customHeight="1">
      <c r="A160" s="239"/>
      <c r="B160" s="198"/>
      <c r="C160" s="6" t="s">
        <v>193</v>
      </c>
      <c r="D160" s="9" t="s">
        <v>145</v>
      </c>
      <c r="E160" s="4"/>
      <c r="F160" s="4">
        <v>63616</v>
      </c>
      <c r="G160" s="4">
        <v>63616</v>
      </c>
      <c r="H160" s="4"/>
      <c r="I160" s="57">
        <f t="shared" si="35"/>
        <v>0</v>
      </c>
      <c r="J160" s="4"/>
      <c r="K160" s="4"/>
      <c r="L160" s="8" t="e">
        <f t="shared" si="40"/>
        <v>#DIV/0!</v>
      </c>
      <c r="M160" s="58"/>
      <c r="N160" s="58"/>
    </row>
    <row r="161" spans="1:14" ht="66.75" customHeight="1">
      <c r="A161" s="239"/>
      <c r="B161" s="272">
        <v>80105</v>
      </c>
      <c r="C161" s="6"/>
      <c r="D161" s="9"/>
      <c r="E161" s="8">
        <f>SUM(E162)</f>
        <v>334.5</v>
      </c>
      <c r="F161" s="8"/>
      <c r="G161" s="8">
        <f>SUM(G162)</f>
        <v>1370</v>
      </c>
      <c r="H161" s="8">
        <f>SUM(H162)</f>
        <v>1027</v>
      </c>
      <c r="I161" s="57">
        <f t="shared" si="35"/>
        <v>74.96350364963503</v>
      </c>
      <c r="J161" s="4"/>
      <c r="K161" s="4"/>
      <c r="L161" s="8"/>
      <c r="M161" s="58"/>
      <c r="N161" s="58"/>
    </row>
    <row r="162" spans="1:14" ht="66.75" customHeight="1">
      <c r="A162" s="239"/>
      <c r="B162" s="273"/>
      <c r="C162" s="6" t="s">
        <v>112</v>
      </c>
      <c r="D162" s="9" t="s">
        <v>305</v>
      </c>
      <c r="E162" s="4">
        <v>334.5</v>
      </c>
      <c r="F162" s="4"/>
      <c r="G162" s="4">
        <v>1370</v>
      </c>
      <c r="H162" s="4">
        <v>1027</v>
      </c>
      <c r="I162" s="57">
        <f t="shared" si="35"/>
        <v>74.96350364963503</v>
      </c>
      <c r="J162" s="207">
        <v>1370</v>
      </c>
      <c r="K162" s="207">
        <v>1500</v>
      </c>
      <c r="L162" s="8"/>
      <c r="M162" s="58"/>
      <c r="N162" s="58"/>
    </row>
    <row r="163" spans="1:14" ht="12.75">
      <c r="A163" s="239"/>
      <c r="B163" s="243">
        <v>80110</v>
      </c>
      <c r="C163" s="5"/>
      <c r="D163" s="7" t="s">
        <v>60</v>
      </c>
      <c r="E163" s="8">
        <f aca="true" t="shared" si="43" ref="E163:K163">E164+E165+E166+E167+E168+E169+E171+E170</f>
        <v>322339.93</v>
      </c>
      <c r="F163" s="8">
        <f t="shared" si="43"/>
        <v>0</v>
      </c>
      <c r="G163" s="8">
        <f t="shared" si="43"/>
        <v>13538.42</v>
      </c>
      <c r="H163" s="8">
        <f t="shared" si="43"/>
        <v>13538.42</v>
      </c>
      <c r="I163" s="57">
        <f t="shared" si="35"/>
        <v>100</v>
      </c>
      <c r="J163" s="8">
        <f t="shared" si="43"/>
        <v>13538.42</v>
      </c>
      <c r="K163" s="8">
        <f t="shared" si="43"/>
        <v>0</v>
      </c>
      <c r="L163" s="8">
        <f t="shared" si="40"/>
        <v>0</v>
      </c>
      <c r="M163" s="57">
        <f>(H163/G163)*100</f>
        <v>100</v>
      </c>
      <c r="N163" s="58">
        <f>(H163/E163)*100</f>
        <v>4.200044344490613</v>
      </c>
    </row>
    <row r="164" spans="1:14" ht="42.75" customHeight="1">
      <c r="A164" s="239"/>
      <c r="B164" s="247"/>
      <c r="C164" s="6" t="s">
        <v>91</v>
      </c>
      <c r="D164" s="9" t="s">
        <v>57</v>
      </c>
      <c r="E164" s="4"/>
      <c r="F164" s="4"/>
      <c r="G164" s="4"/>
      <c r="H164" s="4"/>
      <c r="I164" s="57" t="e">
        <f t="shared" si="35"/>
        <v>#DIV/0!</v>
      </c>
      <c r="J164" s="4"/>
      <c r="K164" s="4"/>
      <c r="L164" s="8" t="e">
        <f t="shared" si="40"/>
        <v>#DIV/0!</v>
      </c>
      <c r="M164" s="58" t="e">
        <f>(H164/G164)*100</f>
        <v>#DIV/0!</v>
      </c>
      <c r="N164" s="58" t="e">
        <f>(H164/E164)*100</f>
        <v>#DIV/0!</v>
      </c>
    </row>
    <row r="165" spans="1:14" ht="12" customHeight="1">
      <c r="A165" s="239"/>
      <c r="B165" s="268"/>
      <c r="C165" s="6" t="s">
        <v>93</v>
      </c>
      <c r="D165" s="9" t="s">
        <v>16</v>
      </c>
      <c r="E165" s="4">
        <v>524.28</v>
      </c>
      <c r="F165" s="4"/>
      <c r="G165" s="4"/>
      <c r="H165" s="4"/>
      <c r="I165" s="57" t="e">
        <f t="shared" si="35"/>
        <v>#DIV/0!</v>
      </c>
      <c r="J165" s="4"/>
      <c r="K165" s="4"/>
      <c r="L165" s="8" t="e">
        <f t="shared" si="40"/>
        <v>#DIV/0!</v>
      </c>
      <c r="M165" s="58" t="e">
        <f>(H165/G165)*100</f>
        <v>#DIV/0!</v>
      </c>
      <c r="N165" s="58">
        <f>(H165/E165)*100</f>
        <v>0</v>
      </c>
    </row>
    <row r="166" spans="1:14" ht="22.5">
      <c r="A166" s="239"/>
      <c r="B166" s="268"/>
      <c r="C166" s="6" t="s">
        <v>90</v>
      </c>
      <c r="D166" s="9" t="s">
        <v>7</v>
      </c>
      <c r="E166" s="4">
        <v>314.85</v>
      </c>
      <c r="F166" s="4"/>
      <c r="G166" s="4"/>
      <c r="H166" s="4"/>
      <c r="I166" s="57" t="e">
        <f t="shared" si="35"/>
        <v>#DIV/0!</v>
      </c>
      <c r="J166" s="4"/>
      <c r="K166" s="4"/>
      <c r="L166" s="8" t="e">
        <f t="shared" si="40"/>
        <v>#DIV/0!</v>
      </c>
      <c r="M166" s="58" t="e">
        <f>(H166/G166)*100</f>
        <v>#DIV/0!</v>
      </c>
      <c r="N166" s="57">
        <f>(H166/E166)*100</f>
        <v>0</v>
      </c>
    </row>
    <row r="167" spans="1:14" ht="33" customHeight="1">
      <c r="A167" s="239"/>
      <c r="B167" s="244"/>
      <c r="C167" s="6" t="s">
        <v>191</v>
      </c>
      <c r="D167" s="9" t="s">
        <v>146</v>
      </c>
      <c r="E167" s="4">
        <v>282021.41</v>
      </c>
      <c r="F167" s="4"/>
      <c r="G167" s="4"/>
      <c r="H167" s="4"/>
      <c r="I167" s="57" t="e">
        <f t="shared" si="35"/>
        <v>#DIV/0!</v>
      </c>
      <c r="J167" s="4"/>
      <c r="K167" s="4"/>
      <c r="L167" s="8" t="e">
        <f t="shared" si="40"/>
        <v>#DIV/0!</v>
      </c>
      <c r="M167" s="58" t="e">
        <f>(H167/G167)*100</f>
        <v>#DIV/0!</v>
      </c>
      <c r="N167" s="58"/>
    </row>
    <row r="168" spans="1:14" ht="34.5" customHeight="1">
      <c r="A168" s="239"/>
      <c r="B168" s="244"/>
      <c r="C168" s="6" t="s">
        <v>152</v>
      </c>
      <c r="D168" s="9" t="s">
        <v>146</v>
      </c>
      <c r="E168" s="4">
        <v>18455.06</v>
      </c>
      <c r="F168" s="4"/>
      <c r="G168" s="4">
        <v>13538.42</v>
      </c>
      <c r="H168" s="4">
        <v>13538.42</v>
      </c>
      <c r="I168" s="57">
        <f t="shared" si="35"/>
        <v>100</v>
      </c>
      <c r="J168" s="207">
        <v>13538.42</v>
      </c>
      <c r="K168" s="4"/>
      <c r="L168" s="8">
        <f t="shared" si="40"/>
        <v>0</v>
      </c>
      <c r="M168" s="58"/>
      <c r="N168" s="58"/>
    </row>
    <row r="169" spans="1:14" ht="56.25" customHeight="1">
      <c r="A169" s="239"/>
      <c r="B169" s="244"/>
      <c r="C169" s="6" t="s">
        <v>117</v>
      </c>
      <c r="D169" s="9" t="s">
        <v>23</v>
      </c>
      <c r="E169" s="4">
        <v>21024.33</v>
      </c>
      <c r="F169" s="4"/>
      <c r="G169" s="4"/>
      <c r="H169" s="4"/>
      <c r="I169" s="57" t="e">
        <f t="shared" si="35"/>
        <v>#DIV/0!</v>
      </c>
      <c r="J169" s="4"/>
      <c r="K169" s="4"/>
      <c r="L169" s="8" t="e">
        <f t="shared" si="40"/>
        <v>#DIV/0!</v>
      </c>
      <c r="M169" s="58" t="e">
        <f>(H169/G169)*100</f>
        <v>#DIV/0!</v>
      </c>
      <c r="N169" s="58">
        <f>(H169/E169)*100</f>
        <v>0</v>
      </c>
    </row>
    <row r="170" spans="1:14" ht="22.5">
      <c r="A170" s="239"/>
      <c r="B170" s="244"/>
      <c r="C170" s="6" t="s">
        <v>347</v>
      </c>
      <c r="D170" s="9"/>
      <c r="E170" s="4"/>
      <c r="F170" s="4"/>
      <c r="G170" s="4"/>
      <c r="H170" s="4"/>
      <c r="I170" s="57" t="e">
        <f t="shared" si="35"/>
        <v>#DIV/0!</v>
      </c>
      <c r="J170" s="4"/>
      <c r="K170" s="4"/>
      <c r="L170" s="8" t="e">
        <f t="shared" si="40"/>
        <v>#DIV/0!</v>
      </c>
      <c r="M170" s="58"/>
      <c r="N170" s="58"/>
    </row>
    <row r="171" spans="1:14" ht="78.75" customHeight="1">
      <c r="A171" s="239"/>
      <c r="B171" s="245"/>
      <c r="C171" s="6" t="s">
        <v>193</v>
      </c>
      <c r="D171" s="9" t="s">
        <v>145</v>
      </c>
      <c r="E171" s="4"/>
      <c r="F171" s="4"/>
      <c r="G171" s="4"/>
      <c r="H171" s="4"/>
      <c r="I171" s="57" t="e">
        <f t="shared" si="35"/>
        <v>#DIV/0!</v>
      </c>
      <c r="J171" s="4"/>
      <c r="K171" s="4"/>
      <c r="L171" s="8" t="e">
        <f t="shared" si="40"/>
        <v>#DIV/0!</v>
      </c>
      <c r="M171" s="58" t="e">
        <f>(H171/G171)*100</f>
        <v>#DIV/0!</v>
      </c>
      <c r="N171" s="58"/>
    </row>
    <row r="172" spans="1:14" ht="31.5">
      <c r="A172" s="239"/>
      <c r="B172" s="243">
        <v>80114</v>
      </c>
      <c r="C172" s="5"/>
      <c r="D172" s="7" t="s">
        <v>61</v>
      </c>
      <c r="E172" s="8">
        <f aca="true" t="shared" si="44" ref="E172:K172">E173+E174</f>
        <v>0</v>
      </c>
      <c r="F172" s="8">
        <f t="shared" si="44"/>
        <v>0</v>
      </c>
      <c r="G172" s="8">
        <f t="shared" si="44"/>
        <v>0</v>
      </c>
      <c r="H172" s="8">
        <f t="shared" si="44"/>
        <v>0</v>
      </c>
      <c r="I172" s="57" t="e">
        <f t="shared" si="35"/>
        <v>#DIV/0!</v>
      </c>
      <c r="J172" s="8">
        <f t="shared" si="44"/>
        <v>0</v>
      </c>
      <c r="K172" s="8">
        <f t="shared" si="44"/>
        <v>0</v>
      </c>
      <c r="L172" s="8" t="e">
        <f t="shared" si="40"/>
        <v>#DIV/0!</v>
      </c>
      <c r="M172" s="57"/>
      <c r="N172" s="57" t="e">
        <f>(H172/E172)*100</f>
        <v>#DIV/0!</v>
      </c>
    </row>
    <row r="173" spans="1:14" ht="22.5">
      <c r="A173" s="239"/>
      <c r="B173" s="244"/>
      <c r="C173" s="6" t="s">
        <v>93</v>
      </c>
      <c r="D173" s="9" t="s">
        <v>16</v>
      </c>
      <c r="E173" s="4"/>
      <c r="F173" s="4"/>
      <c r="G173" s="4"/>
      <c r="H173" s="4"/>
      <c r="I173" s="57" t="e">
        <f t="shared" si="35"/>
        <v>#DIV/0!</v>
      </c>
      <c r="J173" s="4"/>
      <c r="K173" s="4"/>
      <c r="L173" s="8" t="e">
        <f t="shared" si="40"/>
        <v>#DIV/0!</v>
      </c>
      <c r="M173" s="58"/>
      <c r="N173" s="58" t="e">
        <f>(H173/E173)*100</f>
        <v>#DIV/0!</v>
      </c>
    </row>
    <row r="174" spans="1:14" ht="22.5">
      <c r="A174" s="239"/>
      <c r="B174" s="244"/>
      <c r="C174" s="6" t="s">
        <v>90</v>
      </c>
      <c r="D174" s="9" t="s">
        <v>7</v>
      </c>
      <c r="E174" s="4"/>
      <c r="F174" s="4"/>
      <c r="G174" s="4"/>
      <c r="H174" s="4"/>
      <c r="I174" s="57" t="e">
        <f t="shared" si="35"/>
        <v>#DIV/0!</v>
      </c>
      <c r="J174" s="4"/>
      <c r="K174" s="4"/>
      <c r="L174" s="8" t="e">
        <f t="shared" si="40"/>
        <v>#DIV/0!</v>
      </c>
      <c r="M174" s="58"/>
      <c r="N174" s="58" t="e">
        <f>(H174/E174)*100</f>
        <v>#DIV/0!</v>
      </c>
    </row>
    <row r="175" spans="1:14" ht="12.75">
      <c r="A175" s="239"/>
      <c r="B175" s="243">
        <v>80130</v>
      </c>
      <c r="C175" s="5"/>
      <c r="D175" s="7" t="s">
        <v>62</v>
      </c>
      <c r="E175" s="8">
        <f aca="true" t="shared" si="45" ref="E175:K175">E178+E176+E179+E181+E177+E183+E182</f>
        <v>303084.15</v>
      </c>
      <c r="F175" s="8">
        <f t="shared" si="45"/>
        <v>115414.2</v>
      </c>
      <c r="G175" s="8">
        <f t="shared" si="45"/>
        <v>115414.2</v>
      </c>
      <c r="H175" s="8">
        <f t="shared" si="45"/>
        <v>191957.75</v>
      </c>
      <c r="I175" s="57">
        <f t="shared" si="35"/>
        <v>166.32073869593168</v>
      </c>
      <c r="J175" s="8">
        <f t="shared" si="45"/>
        <v>191981.75</v>
      </c>
      <c r="K175" s="8">
        <f t="shared" si="45"/>
        <v>150</v>
      </c>
      <c r="L175" s="8">
        <f t="shared" si="40"/>
        <v>0.07813242664992896</v>
      </c>
      <c r="M175" s="57">
        <f>(H175/G175)*100</f>
        <v>166.32073869593168</v>
      </c>
      <c r="N175" s="57"/>
    </row>
    <row r="176" spans="1:14" ht="22.5">
      <c r="A176" s="239"/>
      <c r="B176" s="247"/>
      <c r="C176" s="6" t="s">
        <v>93</v>
      </c>
      <c r="D176" s="9" t="s">
        <v>16</v>
      </c>
      <c r="E176" s="4">
        <v>638.7</v>
      </c>
      <c r="F176" s="4">
        <v>250</v>
      </c>
      <c r="G176" s="56"/>
      <c r="H176" s="56"/>
      <c r="I176" s="57" t="e">
        <f t="shared" si="35"/>
        <v>#DIV/0!</v>
      </c>
      <c r="J176" s="56"/>
      <c r="K176" s="56"/>
      <c r="L176" s="8" t="e">
        <f t="shared" si="40"/>
        <v>#DIV/0!</v>
      </c>
      <c r="M176" s="58" t="e">
        <f>(H176/G176)*100</f>
        <v>#DIV/0!</v>
      </c>
      <c r="N176" s="58">
        <f>(H173/E176)*100</f>
        <v>0</v>
      </c>
    </row>
    <row r="177" spans="1:14" ht="33.75">
      <c r="A177" s="239"/>
      <c r="B177" s="247"/>
      <c r="C177" s="6" t="s">
        <v>325</v>
      </c>
      <c r="D177" s="9" t="s">
        <v>339</v>
      </c>
      <c r="E177" s="4">
        <v>20910.15</v>
      </c>
      <c r="F177" s="4">
        <v>150</v>
      </c>
      <c r="G177" s="56">
        <v>250</v>
      </c>
      <c r="H177" s="56"/>
      <c r="I177" s="57">
        <f t="shared" si="35"/>
        <v>0</v>
      </c>
      <c r="J177" s="56"/>
      <c r="K177" s="56"/>
      <c r="L177" s="8" t="e">
        <f t="shared" si="40"/>
        <v>#DIV/0!</v>
      </c>
      <c r="M177" s="58"/>
      <c r="N177" s="58"/>
    </row>
    <row r="178" spans="1:14" ht="22.5">
      <c r="A178" s="240"/>
      <c r="B178" s="268"/>
      <c r="C178" s="6" t="s">
        <v>90</v>
      </c>
      <c r="D178" s="9" t="str">
        <f>D174</f>
        <v>Wpływy z różnych dochodów</v>
      </c>
      <c r="E178" s="4">
        <v>89</v>
      </c>
      <c r="F178" s="4"/>
      <c r="G178" s="56">
        <v>150</v>
      </c>
      <c r="H178" s="56">
        <v>76</v>
      </c>
      <c r="I178" s="57">
        <f t="shared" si="35"/>
        <v>50.66666666666667</v>
      </c>
      <c r="J178" s="56">
        <v>100</v>
      </c>
      <c r="K178" s="56">
        <v>150</v>
      </c>
      <c r="L178" s="8">
        <f t="shared" si="40"/>
        <v>150</v>
      </c>
      <c r="M178" s="58">
        <f>(H178/G178)*100</f>
        <v>50.66666666666667</v>
      </c>
      <c r="N178" s="58">
        <f>(H174/E178)*100</f>
        <v>0</v>
      </c>
    </row>
    <row r="179" spans="1:14" ht="45">
      <c r="A179" s="240"/>
      <c r="B179" s="244"/>
      <c r="C179" s="61" t="s">
        <v>191</v>
      </c>
      <c r="D179" s="9" t="s">
        <v>146</v>
      </c>
      <c r="E179" s="4">
        <v>263464.68</v>
      </c>
      <c r="F179" s="4">
        <v>115014.2</v>
      </c>
      <c r="G179" s="56">
        <v>108624.53</v>
      </c>
      <c r="H179" s="56">
        <v>185492.08</v>
      </c>
      <c r="I179" s="57">
        <f t="shared" si="35"/>
        <v>170.76444887724716</v>
      </c>
      <c r="J179" s="210">
        <v>185492.08</v>
      </c>
      <c r="K179" s="56"/>
      <c r="L179" s="8">
        <f t="shared" si="40"/>
        <v>0</v>
      </c>
      <c r="M179" s="58">
        <f>(H179/G179)*100</f>
        <v>170.76444887724716</v>
      </c>
      <c r="N179" s="58"/>
    </row>
    <row r="180" spans="1:14" ht="12.75">
      <c r="A180" s="240"/>
      <c r="B180" s="244"/>
      <c r="C180" s="61" t="s">
        <v>414</v>
      </c>
      <c r="D180" s="9"/>
      <c r="E180" s="4"/>
      <c r="F180" s="4"/>
      <c r="G180" s="56"/>
      <c r="H180" s="56"/>
      <c r="I180" s="57" t="e">
        <f t="shared" si="35"/>
        <v>#DIV/0!</v>
      </c>
      <c r="J180" s="56"/>
      <c r="K180" s="56"/>
      <c r="L180" s="8"/>
      <c r="M180" s="58"/>
      <c r="N180" s="58"/>
    </row>
    <row r="181" spans="1:14" ht="45">
      <c r="A181" s="240"/>
      <c r="B181" s="244"/>
      <c r="C181" s="61" t="s">
        <v>152</v>
      </c>
      <c r="D181" s="9" t="s">
        <v>146</v>
      </c>
      <c r="E181" s="4">
        <v>15497.92</v>
      </c>
      <c r="F181" s="4"/>
      <c r="G181" s="56">
        <v>6389.67</v>
      </c>
      <c r="H181" s="56">
        <v>6389.67</v>
      </c>
      <c r="I181" s="57">
        <f t="shared" si="35"/>
        <v>100</v>
      </c>
      <c r="J181" s="210">
        <v>6389.67</v>
      </c>
      <c r="K181" s="56"/>
      <c r="L181" s="8">
        <f t="shared" si="40"/>
        <v>0</v>
      </c>
      <c r="M181" s="58">
        <f>(H181/G181)*100</f>
        <v>100</v>
      </c>
      <c r="N181" s="58"/>
    </row>
    <row r="182" spans="1:14" ht="22.5">
      <c r="A182" s="240"/>
      <c r="B182" s="244"/>
      <c r="C182" s="61" t="s">
        <v>112</v>
      </c>
      <c r="D182" s="9"/>
      <c r="E182" s="4">
        <v>2480</v>
      </c>
      <c r="F182" s="4"/>
      <c r="G182" s="56"/>
      <c r="H182" s="56"/>
      <c r="I182" s="57" t="e">
        <f t="shared" si="35"/>
        <v>#DIV/0!</v>
      </c>
      <c r="J182" s="56"/>
      <c r="K182" s="56"/>
      <c r="L182" s="8" t="e">
        <f t="shared" si="40"/>
        <v>#DIV/0!</v>
      </c>
      <c r="M182" s="58" t="e">
        <f>(H182/G182)*100</f>
        <v>#DIV/0!</v>
      </c>
      <c r="N182" s="58"/>
    </row>
    <row r="183" spans="1:14" ht="22.5">
      <c r="A183" s="240"/>
      <c r="B183" s="245"/>
      <c r="C183" s="61" t="s">
        <v>347</v>
      </c>
      <c r="D183" s="9"/>
      <c r="E183" s="4">
        <v>3.7</v>
      </c>
      <c r="F183" s="4"/>
      <c r="G183" s="56"/>
      <c r="H183" s="56"/>
      <c r="I183" s="57" t="e">
        <f t="shared" si="35"/>
        <v>#DIV/0!</v>
      </c>
      <c r="J183" s="56"/>
      <c r="K183" s="56"/>
      <c r="L183" s="8" t="e">
        <f t="shared" si="40"/>
        <v>#DIV/0!</v>
      </c>
      <c r="M183" s="58" t="e">
        <f>(H183/G183)*100</f>
        <v>#DIV/0!</v>
      </c>
      <c r="N183" s="58"/>
    </row>
    <row r="184" spans="1:14" ht="12.75">
      <c r="A184" s="240"/>
      <c r="B184" s="248">
        <v>80148</v>
      </c>
      <c r="C184" s="132"/>
      <c r="D184" s="7" t="s">
        <v>354</v>
      </c>
      <c r="E184" s="8">
        <f aca="true" t="shared" si="46" ref="E184:K184">E185</f>
        <v>0</v>
      </c>
      <c r="F184" s="8">
        <f t="shared" si="46"/>
        <v>188280</v>
      </c>
      <c r="G184" s="8">
        <v>188280</v>
      </c>
      <c r="H184" s="8">
        <f t="shared" si="46"/>
        <v>0</v>
      </c>
      <c r="I184" s="57">
        <f t="shared" si="35"/>
        <v>0</v>
      </c>
      <c r="J184" s="8">
        <f t="shared" si="46"/>
        <v>0</v>
      </c>
      <c r="K184" s="8">
        <f t="shared" si="46"/>
        <v>0</v>
      </c>
      <c r="L184" s="8" t="e">
        <f t="shared" si="40"/>
        <v>#DIV/0!</v>
      </c>
      <c r="M184" s="57"/>
      <c r="N184" s="57"/>
    </row>
    <row r="185" spans="1:14" ht="22.5">
      <c r="A185" s="240"/>
      <c r="B185" s="250"/>
      <c r="C185" s="61" t="s">
        <v>96</v>
      </c>
      <c r="D185" s="9" t="s">
        <v>25</v>
      </c>
      <c r="E185" s="4"/>
      <c r="F185" s="4">
        <v>188280</v>
      </c>
      <c r="G185" s="56">
        <v>0</v>
      </c>
      <c r="H185" s="56"/>
      <c r="I185" s="57" t="e">
        <f t="shared" si="35"/>
        <v>#DIV/0!</v>
      </c>
      <c r="J185" s="56"/>
      <c r="K185" s="56"/>
      <c r="L185" s="8" t="e">
        <f t="shared" si="40"/>
        <v>#DIV/0!</v>
      </c>
      <c r="M185" s="58"/>
      <c r="N185" s="58"/>
    </row>
    <row r="186" spans="1:14" ht="75.75" customHeight="1">
      <c r="A186" s="240"/>
      <c r="B186" s="269">
        <v>80149</v>
      </c>
      <c r="C186" s="61"/>
      <c r="D186" s="211" t="s">
        <v>340</v>
      </c>
      <c r="E186" s="8">
        <f>SUM(E187)</f>
        <v>5352</v>
      </c>
      <c r="F186" s="4"/>
      <c r="G186" s="8">
        <f>SUM(G187)</f>
        <v>2740</v>
      </c>
      <c r="H186" s="8">
        <f>SUM(H187)</f>
        <v>2054</v>
      </c>
      <c r="I186" s="57">
        <f t="shared" si="35"/>
        <v>74.96350364963503</v>
      </c>
      <c r="J186" s="4">
        <f>J187</f>
        <v>2740</v>
      </c>
      <c r="K186" s="4">
        <f>K187</f>
        <v>3000</v>
      </c>
      <c r="L186" s="8">
        <f t="shared" si="40"/>
        <v>109.48905109489051</v>
      </c>
      <c r="M186" s="58">
        <f>(H186/G186)*100</f>
        <v>74.96350364963503</v>
      </c>
      <c r="N186" s="58"/>
    </row>
    <row r="187" spans="1:14" ht="46.5" customHeight="1">
      <c r="A187" s="240"/>
      <c r="B187" s="245"/>
      <c r="C187" s="61" t="s">
        <v>112</v>
      </c>
      <c r="D187" s="9" t="s">
        <v>71</v>
      </c>
      <c r="E187" s="4">
        <v>5352</v>
      </c>
      <c r="F187" s="4"/>
      <c r="G187" s="56">
        <v>2740</v>
      </c>
      <c r="H187" s="56">
        <v>2054</v>
      </c>
      <c r="I187" s="57">
        <f t="shared" si="35"/>
        <v>74.96350364963503</v>
      </c>
      <c r="J187" s="210">
        <v>2740</v>
      </c>
      <c r="K187" s="210">
        <v>3000</v>
      </c>
      <c r="L187" s="8">
        <f t="shared" si="40"/>
        <v>109.48905109489051</v>
      </c>
      <c r="M187" s="58">
        <f>(H187/G187)*100</f>
        <v>74.96350364963503</v>
      </c>
      <c r="N187" s="58"/>
    </row>
    <row r="188" spans="1:14" ht="87.75" customHeight="1">
      <c r="A188" s="241"/>
      <c r="B188" s="204">
        <v>80150</v>
      </c>
      <c r="C188" s="132"/>
      <c r="D188" s="211" t="s">
        <v>272</v>
      </c>
      <c r="E188" s="8">
        <f aca="true" t="shared" si="47" ref="E188:K188">E189</f>
        <v>599.94</v>
      </c>
      <c r="F188" s="8">
        <f t="shared" si="47"/>
        <v>0</v>
      </c>
      <c r="G188" s="8">
        <f t="shared" si="47"/>
        <v>0</v>
      </c>
      <c r="H188" s="8">
        <f t="shared" si="47"/>
        <v>0</v>
      </c>
      <c r="I188" s="57" t="e">
        <f t="shared" si="35"/>
        <v>#DIV/0!</v>
      </c>
      <c r="J188" s="8">
        <f t="shared" si="47"/>
        <v>0</v>
      </c>
      <c r="K188" s="8">
        <f t="shared" si="47"/>
        <v>0</v>
      </c>
      <c r="L188" s="8" t="e">
        <f t="shared" si="40"/>
        <v>#DIV/0!</v>
      </c>
      <c r="M188" s="57">
        <v>100</v>
      </c>
      <c r="N188" s="57"/>
    </row>
    <row r="189" spans="1:14" ht="57.75" customHeight="1">
      <c r="A189" s="241"/>
      <c r="B189" s="201"/>
      <c r="C189" s="61" t="s">
        <v>117</v>
      </c>
      <c r="D189" s="9" t="s">
        <v>23</v>
      </c>
      <c r="E189" s="4">
        <v>599.94</v>
      </c>
      <c r="F189" s="4"/>
      <c r="G189" s="4"/>
      <c r="H189" s="4"/>
      <c r="I189" s="57" t="e">
        <f t="shared" si="35"/>
        <v>#DIV/0!</v>
      </c>
      <c r="J189" s="4"/>
      <c r="K189" s="4"/>
      <c r="L189" s="8" t="e">
        <f t="shared" si="40"/>
        <v>#DIV/0!</v>
      </c>
      <c r="M189" s="58">
        <v>100</v>
      </c>
      <c r="N189" s="58"/>
    </row>
    <row r="190" spans="1:14" ht="12.75">
      <c r="A190" s="274">
        <v>801</v>
      </c>
      <c r="B190" s="277">
        <v>80151</v>
      </c>
      <c r="C190" s="61"/>
      <c r="D190" s="9"/>
      <c r="E190" s="4"/>
      <c r="F190" s="4"/>
      <c r="G190" s="8">
        <f>SUM(G191:G194)</f>
        <v>76236.75</v>
      </c>
      <c r="H190" s="8">
        <f>SUM(H191:H194)</f>
        <v>76239.87</v>
      </c>
      <c r="I190" s="57">
        <f t="shared" si="35"/>
        <v>100.00409251443693</v>
      </c>
      <c r="J190" s="4">
        <f>J191+J192+J193</f>
        <v>76236.75</v>
      </c>
      <c r="K190" s="4">
        <f>K191+K192+K193</f>
        <v>0</v>
      </c>
      <c r="L190" s="4">
        <f>L191+L192+L193</f>
        <v>0</v>
      </c>
      <c r="M190" s="58"/>
      <c r="N190" s="58"/>
    </row>
    <row r="191" spans="1:14" ht="22.5">
      <c r="A191" s="275"/>
      <c r="B191" s="278"/>
      <c r="C191" s="61" t="s">
        <v>93</v>
      </c>
      <c r="D191" s="9"/>
      <c r="E191" s="4"/>
      <c r="F191" s="4"/>
      <c r="G191" s="4"/>
      <c r="H191" s="4">
        <v>3.12</v>
      </c>
      <c r="I191" s="57" t="e">
        <f t="shared" si="35"/>
        <v>#DIV/0!</v>
      </c>
      <c r="J191" s="4"/>
      <c r="K191" s="4"/>
      <c r="L191" s="8"/>
      <c r="M191" s="58"/>
      <c r="N191" s="58"/>
    </row>
    <row r="192" spans="1:14" ht="22.5">
      <c r="A192" s="275"/>
      <c r="B192" s="278"/>
      <c r="C192" s="61" t="s">
        <v>191</v>
      </c>
      <c r="D192" s="9"/>
      <c r="E192" s="4"/>
      <c r="F192" s="4"/>
      <c r="G192" s="4">
        <v>72001.37</v>
      </c>
      <c r="H192" s="4">
        <v>72001.37</v>
      </c>
      <c r="I192" s="57">
        <f t="shared" si="35"/>
        <v>100</v>
      </c>
      <c r="J192" s="207">
        <v>72001.37</v>
      </c>
      <c r="K192" s="207">
        <v>0</v>
      </c>
      <c r="L192" s="8"/>
      <c r="M192" s="58"/>
      <c r="N192" s="58"/>
    </row>
    <row r="193" spans="1:14" ht="22.5">
      <c r="A193" s="275"/>
      <c r="B193" s="278"/>
      <c r="C193" s="61" t="s">
        <v>152</v>
      </c>
      <c r="D193" s="9"/>
      <c r="E193" s="4"/>
      <c r="F193" s="4"/>
      <c r="G193" s="4">
        <v>4235.38</v>
      </c>
      <c r="H193" s="4">
        <v>4235.38</v>
      </c>
      <c r="I193" s="57">
        <f t="shared" si="35"/>
        <v>100</v>
      </c>
      <c r="J193" s="207">
        <v>4235.38</v>
      </c>
      <c r="K193" s="207">
        <v>0</v>
      </c>
      <c r="L193" s="8"/>
      <c r="M193" s="58"/>
      <c r="N193" s="58"/>
    </row>
    <row r="194" spans="1:14" ht="12.75">
      <c r="A194" s="276"/>
      <c r="B194" s="279"/>
      <c r="C194" s="61"/>
      <c r="D194" s="9"/>
      <c r="E194" s="4"/>
      <c r="F194" s="4"/>
      <c r="G194" s="4"/>
      <c r="H194" s="4"/>
      <c r="I194" s="57" t="e">
        <f t="shared" si="35"/>
        <v>#DIV/0!</v>
      </c>
      <c r="J194" s="4"/>
      <c r="K194" s="4"/>
      <c r="L194" s="8"/>
      <c r="M194" s="58"/>
      <c r="N194" s="58"/>
    </row>
    <row r="195" spans="1:14" ht="12.75">
      <c r="A195" s="265" t="s">
        <v>417</v>
      </c>
      <c r="B195" s="197"/>
      <c r="C195" s="5"/>
      <c r="D195" s="7"/>
      <c r="E195" s="8">
        <f aca="true" t="shared" si="48" ref="E195:K195">E199+E196</f>
        <v>567.04</v>
      </c>
      <c r="F195" s="8">
        <f t="shared" si="48"/>
        <v>238</v>
      </c>
      <c r="G195" s="8">
        <f t="shared" si="48"/>
        <v>63685.65</v>
      </c>
      <c r="H195" s="8">
        <f t="shared" si="48"/>
        <v>61748.21</v>
      </c>
      <c r="I195" s="57">
        <f t="shared" si="35"/>
        <v>96.95780760658013</v>
      </c>
      <c r="J195" s="8">
        <f t="shared" si="48"/>
        <v>893</v>
      </c>
      <c r="K195" s="8">
        <f t="shared" si="48"/>
        <v>971</v>
      </c>
      <c r="L195" s="8">
        <f t="shared" si="40"/>
        <v>108.73460246360582</v>
      </c>
      <c r="M195" s="57">
        <f>(H195/G195)*100</f>
        <v>96.95780760658013</v>
      </c>
      <c r="N195" s="57">
        <f>(H195/E195)*100</f>
        <v>10889.568637133183</v>
      </c>
    </row>
    <row r="196" spans="1:14" ht="21">
      <c r="A196" s="265"/>
      <c r="B196" s="197" t="s">
        <v>416</v>
      </c>
      <c r="C196" s="5"/>
      <c r="D196" s="7"/>
      <c r="E196" s="8">
        <f aca="true" t="shared" si="49" ref="E196:K196">E197</f>
        <v>347.44</v>
      </c>
      <c r="F196" s="8">
        <f t="shared" si="49"/>
        <v>0</v>
      </c>
      <c r="G196" s="8">
        <f>SUM(G197:G198)</f>
        <v>63353.65</v>
      </c>
      <c r="H196" s="8">
        <f>SUM(H197:H198)</f>
        <v>61574.21</v>
      </c>
      <c r="I196" s="57">
        <f t="shared" si="35"/>
        <v>97.19125890931304</v>
      </c>
      <c r="J196" s="8">
        <f t="shared" si="49"/>
        <v>561</v>
      </c>
      <c r="K196" s="8">
        <f t="shared" si="49"/>
        <v>700</v>
      </c>
      <c r="L196" s="8">
        <f t="shared" si="40"/>
        <v>124.77718360071302</v>
      </c>
      <c r="M196" s="58">
        <f>(H196/G196)*100</f>
        <v>97.19125890931304</v>
      </c>
      <c r="N196" s="57"/>
    </row>
    <row r="197" spans="1:14" s="29" customFormat="1" ht="33.75">
      <c r="A197" s="265"/>
      <c r="B197" s="205"/>
      <c r="C197" s="6" t="s">
        <v>325</v>
      </c>
      <c r="D197" s="9" t="s">
        <v>339</v>
      </c>
      <c r="E197" s="4">
        <v>347.44</v>
      </c>
      <c r="F197" s="4"/>
      <c r="G197" s="4"/>
      <c r="H197" s="4">
        <v>560.33</v>
      </c>
      <c r="I197" s="57" t="e">
        <f t="shared" si="35"/>
        <v>#DIV/0!</v>
      </c>
      <c r="J197" s="4">
        <v>561</v>
      </c>
      <c r="K197" s="4">
        <v>700</v>
      </c>
      <c r="L197" s="8">
        <f t="shared" si="40"/>
        <v>124.77718360071302</v>
      </c>
      <c r="M197" s="58" t="e">
        <f>(H197/G197)*100</f>
        <v>#DIV/0!</v>
      </c>
      <c r="N197" s="58"/>
    </row>
    <row r="198" spans="1:14" s="29" customFormat="1" ht="22.5">
      <c r="A198" s="265"/>
      <c r="B198" s="205"/>
      <c r="C198" s="6" t="s">
        <v>117</v>
      </c>
      <c r="D198" s="9"/>
      <c r="E198" s="4"/>
      <c r="F198" s="4"/>
      <c r="G198" s="4">
        <v>63353.65</v>
      </c>
      <c r="H198" s="4">
        <v>61013.88</v>
      </c>
      <c r="I198" s="57">
        <f t="shared" si="35"/>
        <v>96.30681105192834</v>
      </c>
      <c r="J198" s="207">
        <v>63353.65</v>
      </c>
      <c r="K198" s="207">
        <v>65000</v>
      </c>
      <c r="L198" s="8">
        <f t="shared" si="40"/>
        <v>102.59866637518122</v>
      </c>
      <c r="M198" s="58"/>
      <c r="N198" s="58"/>
    </row>
    <row r="199" spans="1:14" s="10" customFormat="1" ht="21">
      <c r="A199" s="270"/>
      <c r="B199" s="197" t="s">
        <v>121</v>
      </c>
      <c r="C199" s="5"/>
      <c r="D199" s="7" t="s">
        <v>8</v>
      </c>
      <c r="E199" s="8">
        <f aca="true" t="shared" si="50" ref="E199:K199">E200</f>
        <v>219.6</v>
      </c>
      <c r="F199" s="8">
        <f t="shared" si="50"/>
        <v>238</v>
      </c>
      <c r="G199" s="8">
        <f t="shared" si="50"/>
        <v>332</v>
      </c>
      <c r="H199" s="8">
        <f t="shared" si="50"/>
        <v>174</v>
      </c>
      <c r="I199" s="57">
        <f t="shared" si="35"/>
        <v>52.40963855421686</v>
      </c>
      <c r="J199" s="8">
        <f t="shared" si="50"/>
        <v>332</v>
      </c>
      <c r="K199" s="8">
        <f t="shared" si="50"/>
        <v>271</v>
      </c>
      <c r="L199" s="8">
        <f t="shared" si="40"/>
        <v>81.62650602409639</v>
      </c>
      <c r="M199" s="57">
        <f>(H199/G199)*100</f>
        <v>52.40963855421686</v>
      </c>
      <c r="N199" s="57">
        <f>(H199/E199)*100</f>
        <v>79.23497267759562</v>
      </c>
    </row>
    <row r="200" spans="1:14" ht="34.5" customHeight="1">
      <c r="A200" s="270"/>
      <c r="B200" s="205"/>
      <c r="C200" s="6" t="s">
        <v>117</v>
      </c>
      <c r="D200" s="9" t="s">
        <v>68</v>
      </c>
      <c r="E200" s="4">
        <v>219.6</v>
      </c>
      <c r="F200" s="4">
        <v>238</v>
      </c>
      <c r="G200" s="4">
        <v>332</v>
      </c>
      <c r="H200" s="4">
        <v>174</v>
      </c>
      <c r="I200" s="57">
        <f aca="true" t="shared" si="51" ref="I200:I263">H200/G200*100</f>
        <v>52.40963855421686</v>
      </c>
      <c r="J200" s="207">
        <v>332</v>
      </c>
      <c r="K200" s="207">
        <v>271</v>
      </c>
      <c r="L200" s="8">
        <f t="shared" si="40"/>
        <v>81.62650602409639</v>
      </c>
      <c r="M200" s="58">
        <f>(H200/G200)*100</f>
        <v>52.40963855421686</v>
      </c>
      <c r="N200" s="58">
        <f>(H200/E200)*100</f>
        <v>79.23497267759562</v>
      </c>
    </row>
    <row r="201" spans="1:14" ht="21">
      <c r="A201" s="265">
        <v>852</v>
      </c>
      <c r="B201" s="197"/>
      <c r="C201" s="5"/>
      <c r="D201" s="7" t="s">
        <v>65</v>
      </c>
      <c r="E201" s="8">
        <f aca="true" t="shared" si="52" ref="E201:K201">E211+E215+E218+E224+E233+E242+E202+E222+E220+E209+E239+E205+E207</f>
        <v>707564.43</v>
      </c>
      <c r="F201" s="8">
        <f t="shared" si="52"/>
        <v>1468019.3800000001</v>
      </c>
      <c r="G201" s="8">
        <f>G202+G205+G207+G209+G211+G215+G218+G220+G222+G224+G231+G233+G239+G242</f>
        <v>679048.01</v>
      </c>
      <c r="H201" s="8">
        <f>H202+H205+H207+H209+H211+H215+H218+H220+H222+H224+H231+H233+H239+H242</f>
        <v>549766.04</v>
      </c>
      <c r="I201" s="57">
        <f t="shared" si="51"/>
        <v>80.96129167656349</v>
      </c>
      <c r="J201" s="8">
        <f t="shared" si="52"/>
        <v>639469.5</v>
      </c>
      <c r="K201" s="8">
        <f t="shared" si="52"/>
        <v>600400</v>
      </c>
      <c r="L201" s="8">
        <f t="shared" si="40"/>
        <v>93.89032627826658</v>
      </c>
      <c r="M201" s="57">
        <f>(H201/G201)*100</f>
        <v>80.96129167656349</v>
      </c>
      <c r="N201" s="57">
        <f>(H201/E201)*100</f>
        <v>77.69837158151095</v>
      </c>
    </row>
    <row r="202" spans="1:14" ht="21">
      <c r="A202" s="265"/>
      <c r="B202" s="266" t="s">
        <v>144</v>
      </c>
      <c r="C202" s="5"/>
      <c r="D202" s="7" t="s">
        <v>170</v>
      </c>
      <c r="E202" s="8">
        <f aca="true" t="shared" si="53" ref="E202:K202">E204+E203</f>
        <v>23945.670000000002</v>
      </c>
      <c r="F202" s="8">
        <f t="shared" si="53"/>
        <v>32414</v>
      </c>
      <c r="G202" s="8">
        <f t="shared" si="53"/>
        <v>32414</v>
      </c>
      <c r="H202" s="8">
        <f t="shared" si="53"/>
        <v>22786.24</v>
      </c>
      <c r="I202" s="57">
        <f t="shared" si="51"/>
        <v>70.29752576047387</v>
      </c>
      <c r="J202" s="8">
        <f t="shared" si="53"/>
        <v>31000.5</v>
      </c>
      <c r="K202" s="8">
        <f t="shared" si="53"/>
        <v>32001</v>
      </c>
      <c r="L202" s="8">
        <f t="shared" si="40"/>
        <v>103.22736730052742</v>
      </c>
      <c r="M202" s="58">
        <f>(H202/G202)*100</f>
        <v>70.29752576047387</v>
      </c>
      <c r="N202" s="58">
        <f>(H202/E202)*100</f>
        <v>95.1580807720143</v>
      </c>
    </row>
    <row r="203" spans="1:14" ht="22.5">
      <c r="A203" s="265"/>
      <c r="B203" s="266"/>
      <c r="C203" s="6" t="s">
        <v>93</v>
      </c>
      <c r="D203" s="9" t="s">
        <v>16</v>
      </c>
      <c r="E203" s="4">
        <v>6.79</v>
      </c>
      <c r="F203" s="4"/>
      <c r="G203" s="4"/>
      <c r="H203" s="4">
        <v>0.24</v>
      </c>
      <c r="I203" s="57" t="e">
        <f t="shared" si="51"/>
        <v>#DIV/0!</v>
      </c>
      <c r="J203" s="4">
        <v>0.5</v>
      </c>
      <c r="K203" s="4">
        <v>1</v>
      </c>
      <c r="L203" s="8">
        <f t="shared" si="40"/>
        <v>200</v>
      </c>
      <c r="M203" s="58"/>
      <c r="N203" s="58"/>
    </row>
    <row r="204" spans="1:14" ht="22.5">
      <c r="A204" s="265"/>
      <c r="B204" s="283"/>
      <c r="C204" s="6" t="s">
        <v>90</v>
      </c>
      <c r="D204" s="9" t="s">
        <v>7</v>
      </c>
      <c r="E204" s="4">
        <v>23938.88</v>
      </c>
      <c r="F204" s="4">
        <v>32414</v>
      </c>
      <c r="G204" s="4">
        <v>32414</v>
      </c>
      <c r="H204" s="4">
        <v>22786</v>
      </c>
      <c r="I204" s="57">
        <f t="shared" si="51"/>
        <v>70.29678533966805</v>
      </c>
      <c r="J204" s="207">
        <v>31000</v>
      </c>
      <c r="K204" s="207">
        <v>32000</v>
      </c>
      <c r="L204" s="8">
        <f t="shared" si="40"/>
        <v>103.2258064516129</v>
      </c>
      <c r="M204" s="58">
        <f>(H204/G204)*100</f>
        <v>70.29678533966805</v>
      </c>
      <c r="N204" s="58">
        <f>(H204/E204)*100</f>
        <v>95.18406876178</v>
      </c>
    </row>
    <row r="205" spans="1:14" s="52" customFormat="1" ht="12.75">
      <c r="A205" s="265"/>
      <c r="B205" s="282">
        <v>85203</v>
      </c>
      <c r="C205" s="5"/>
      <c r="D205" s="7"/>
      <c r="E205" s="8">
        <f aca="true" t="shared" si="54" ref="E205:K205">E206</f>
        <v>0</v>
      </c>
      <c r="F205" s="8">
        <f t="shared" si="54"/>
        <v>0</v>
      </c>
      <c r="G205" s="8">
        <f t="shared" si="54"/>
        <v>0</v>
      </c>
      <c r="H205" s="8">
        <f t="shared" si="54"/>
        <v>0</v>
      </c>
      <c r="I205" s="57" t="e">
        <f t="shared" si="51"/>
        <v>#DIV/0!</v>
      </c>
      <c r="J205" s="8">
        <f t="shared" si="54"/>
        <v>0</v>
      </c>
      <c r="K205" s="8">
        <f t="shared" si="54"/>
        <v>0</v>
      </c>
      <c r="L205" s="8" t="e">
        <f t="shared" si="40"/>
        <v>#DIV/0!</v>
      </c>
      <c r="M205" s="57"/>
      <c r="N205" s="57"/>
    </row>
    <row r="206" spans="1:14" s="51" customFormat="1" ht="22.5">
      <c r="A206" s="265"/>
      <c r="B206" s="283"/>
      <c r="C206" s="6" t="s">
        <v>90</v>
      </c>
      <c r="D206" s="9" t="s">
        <v>7</v>
      </c>
      <c r="E206" s="4"/>
      <c r="F206" s="4"/>
      <c r="G206" s="4"/>
      <c r="H206" s="4"/>
      <c r="I206" s="57" t="e">
        <f t="shared" si="51"/>
        <v>#DIV/0!</v>
      </c>
      <c r="J206" s="4"/>
      <c r="K206" s="4"/>
      <c r="L206" s="8" t="e">
        <f t="shared" si="40"/>
        <v>#DIV/0!</v>
      </c>
      <c r="M206" s="58"/>
      <c r="N206" s="58"/>
    </row>
    <row r="207" spans="1:14" s="51" customFormat="1" ht="12.75">
      <c r="A207" s="265"/>
      <c r="B207" s="282">
        <v>85206</v>
      </c>
      <c r="C207" s="5"/>
      <c r="D207" s="7"/>
      <c r="E207" s="8">
        <f aca="true" t="shared" si="55" ref="E207:K207">E208</f>
        <v>0</v>
      </c>
      <c r="F207" s="8">
        <f t="shared" si="55"/>
        <v>0</v>
      </c>
      <c r="G207" s="8">
        <f t="shared" si="55"/>
        <v>0</v>
      </c>
      <c r="H207" s="8">
        <f t="shared" si="55"/>
        <v>0</v>
      </c>
      <c r="I207" s="57" t="e">
        <f t="shared" si="51"/>
        <v>#DIV/0!</v>
      </c>
      <c r="J207" s="8">
        <f t="shared" si="55"/>
        <v>0</v>
      </c>
      <c r="K207" s="8">
        <f t="shared" si="55"/>
        <v>0</v>
      </c>
      <c r="L207" s="8" t="e">
        <f t="shared" si="40"/>
        <v>#DIV/0!</v>
      </c>
      <c r="M207" s="57"/>
      <c r="N207" s="57"/>
    </row>
    <row r="208" spans="1:14" s="51" customFormat="1" ht="56.25">
      <c r="A208" s="265"/>
      <c r="B208" s="283"/>
      <c r="C208" s="6" t="s">
        <v>112</v>
      </c>
      <c r="D208" s="9" t="s">
        <v>71</v>
      </c>
      <c r="E208" s="4"/>
      <c r="F208" s="4"/>
      <c r="G208" s="4"/>
      <c r="H208" s="4"/>
      <c r="I208" s="57" t="e">
        <f t="shared" si="51"/>
        <v>#DIV/0!</v>
      </c>
      <c r="J208" s="4"/>
      <c r="K208" s="4"/>
      <c r="L208" s="8" t="e">
        <f t="shared" si="40"/>
        <v>#DIV/0!</v>
      </c>
      <c r="M208" s="58"/>
      <c r="N208" s="58"/>
    </row>
    <row r="209" spans="1:14" s="51" customFormat="1" ht="21">
      <c r="A209" s="265"/>
      <c r="B209" s="282">
        <v>85211</v>
      </c>
      <c r="C209" s="5"/>
      <c r="D209" s="7" t="s">
        <v>298</v>
      </c>
      <c r="E209" s="8">
        <f aca="true" t="shared" si="56" ref="E209:K209">E210</f>
        <v>0</v>
      </c>
      <c r="F209" s="8">
        <f t="shared" si="56"/>
        <v>0</v>
      </c>
      <c r="G209" s="8">
        <f t="shared" si="56"/>
        <v>0</v>
      </c>
      <c r="H209" s="8">
        <f t="shared" si="56"/>
        <v>0</v>
      </c>
      <c r="I209" s="57" t="e">
        <f t="shared" si="51"/>
        <v>#DIV/0!</v>
      </c>
      <c r="J209" s="8">
        <f t="shared" si="56"/>
        <v>0</v>
      </c>
      <c r="K209" s="8">
        <f t="shared" si="56"/>
        <v>0</v>
      </c>
      <c r="L209" s="8" t="e">
        <f t="shared" si="40"/>
        <v>#DIV/0!</v>
      </c>
      <c r="M209" s="58"/>
      <c r="N209" s="57"/>
    </row>
    <row r="210" spans="1:14" s="51" customFormat="1" ht="81" customHeight="1">
      <c r="A210" s="265"/>
      <c r="B210" s="283"/>
      <c r="C210" s="6" t="s">
        <v>293</v>
      </c>
      <c r="D210" s="9" t="s">
        <v>299</v>
      </c>
      <c r="E210" s="4"/>
      <c r="F210" s="4"/>
      <c r="G210" s="4"/>
      <c r="H210" s="4"/>
      <c r="I210" s="57" t="e">
        <f t="shared" si="51"/>
        <v>#DIV/0!</v>
      </c>
      <c r="J210" s="4"/>
      <c r="K210" s="4"/>
      <c r="L210" s="8" t="e">
        <f t="shared" si="40"/>
        <v>#DIV/0!</v>
      </c>
      <c r="M210" s="58"/>
      <c r="N210" s="58"/>
    </row>
    <row r="211" spans="1:14" ht="42">
      <c r="A211" s="284"/>
      <c r="B211" s="243">
        <v>85212</v>
      </c>
      <c r="C211" s="5"/>
      <c r="D211" s="7" t="s">
        <v>66</v>
      </c>
      <c r="E211" s="8">
        <f aca="true" t="shared" si="57" ref="E211:K211">E213+E212+E214</f>
        <v>0</v>
      </c>
      <c r="F211" s="8">
        <f t="shared" si="57"/>
        <v>0</v>
      </c>
      <c r="G211" s="8">
        <f t="shared" si="57"/>
        <v>0</v>
      </c>
      <c r="H211" s="8">
        <f t="shared" si="57"/>
        <v>0</v>
      </c>
      <c r="I211" s="57" t="e">
        <f t="shared" si="51"/>
        <v>#DIV/0!</v>
      </c>
      <c r="J211" s="8">
        <f t="shared" si="57"/>
        <v>0</v>
      </c>
      <c r="K211" s="8">
        <f t="shared" si="57"/>
        <v>0</v>
      </c>
      <c r="L211" s="8" t="e">
        <f t="shared" si="40"/>
        <v>#DIV/0!</v>
      </c>
      <c r="M211" s="57"/>
      <c r="N211" s="57" t="e">
        <f>(H211/E211)*100</f>
        <v>#DIV/0!</v>
      </c>
    </row>
    <row r="212" spans="1:14" ht="22.5">
      <c r="A212" s="284"/>
      <c r="B212" s="247"/>
      <c r="C212" s="6" t="s">
        <v>93</v>
      </c>
      <c r="D212" s="9" t="s">
        <v>16</v>
      </c>
      <c r="E212" s="4"/>
      <c r="F212" s="4"/>
      <c r="G212" s="4"/>
      <c r="H212" s="4"/>
      <c r="I212" s="57" t="e">
        <f t="shared" si="51"/>
        <v>#DIV/0!</v>
      </c>
      <c r="J212" s="4"/>
      <c r="K212" s="4"/>
      <c r="L212" s="8" t="e">
        <f t="shared" si="40"/>
        <v>#DIV/0!</v>
      </c>
      <c r="M212" s="58"/>
      <c r="N212" s="58" t="e">
        <f>(H212/E212)*100</f>
        <v>#DIV/0!</v>
      </c>
    </row>
    <row r="213" spans="1:14" ht="36.75" customHeight="1">
      <c r="A213" s="284"/>
      <c r="B213" s="247"/>
      <c r="C213" s="6">
        <v>2010</v>
      </c>
      <c r="D213" s="9" t="s">
        <v>68</v>
      </c>
      <c r="E213" s="4"/>
      <c r="F213" s="4"/>
      <c r="G213" s="4"/>
      <c r="H213" s="4"/>
      <c r="I213" s="57" t="e">
        <f t="shared" si="51"/>
        <v>#DIV/0!</v>
      </c>
      <c r="J213" s="4"/>
      <c r="K213" s="4"/>
      <c r="L213" s="8" t="e">
        <f t="shared" si="40"/>
        <v>#DIV/0!</v>
      </c>
      <c r="M213" s="58"/>
      <c r="N213" s="58" t="e">
        <f>(H213/E213)*100</f>
        <v>#DIV/0!</v>
      </c>
    </row>
    <row r="214" spans="1:14" ht="56.25">
      <c r="A214" s="284"/>
      <c r="B214" s="245"/>
      <c r="C214" s="6" t="s">
        <v>158</v>
      </c>
      <c r="D214" s="9" t="s">
        <v>125</v>
      </c>
      <c r="E214" s="4"/>
      <c r="F214" s="4"/>
      <c r="G214" s="4"/>
      <c r="H214" s="4"/>
      <c r="I214" s="57" t="e">
        <f t="shared" si="51"/>
        <v>#DIV/0!</v>
      </c>
      <c r="J214" s="4"/>
      <c r="K214" s="4"/>
      <c r="L214" s="8" t="e">
        <f t="shared" si="40"/>
        <v>#DIV/0!</v>
      </c>
      <c r="M214" s="58"/>
      <c r="N214" s="58"/>
    </row>
    <row r="215" spans="1:14" ht="52.5">
      <c r="A215" s="284"/>
      <c r="B215" s="243">
        <v>85213</v>
      </c>
      <c r="C215" s="5"/>
      <c r="D215" s="7" t="s">
        <v>69</v>
      </c>
      <c r="E215" s="8">
        <f aca="true" t="shared" si="58" ref="E215:K215">E216+E217</f>
        <v>51598.86</v>
      </c>
      <c r="F215" s="8">
        <f t="shared" si="58"/>
        <v>56376</v>
      </c>
      <c r="G215" s="8">
        <f t="shared" si="58"/>
        <v>53040</v>
      </c>
      <c r="H215" s="8">
        <f t="shared" si="58"/>
        <v>34472</v>
      </c>
      <c r="I215" s="57">
        <f t="shared" si="51"/>
        <v>64.99245852187029</v>
      </c>
      <c r="J215" s="8">
        <f t="shared" si="58"/>
        <v>53040</v>
      </c>
      <c r="K215" s="8">
        <f t="shared" si="58"/>
        <v>48353</v>
      </c>
      <c r="L215" s="8">
        <f t="shared" si="40"/>
        <v>91.16327300150829</v>
      </c>
      <c r="M215" s="57">
        <f aca="true" t="shared" si="59" ref="M215:M225">(H215/G215)*100</f>
        <v>64.99245852187029</v>
      </c>
      <c r="N215" s="57">
        <f aca="true" t="shared" si="60" ref="N215:N224">(H215/E215)*100</f>
        <v>66.80767753396101</v>
      </c>
    </row>
    <row r="216" spans="1:14" ht="56.25">
      <c r="A216" s="284"/>
      <c r="B216" s="244"/>
      <c r="C216" s="6">
        <v>2010</v>
      </c>
      <c r="D216" s="9" t="s">
        <v>68</v>
      </c>
      <c r="E216" s="4">
        <v>31174.32</v>
      </c>
      <c r="F216" s="4">
        <v>32926</v>
      </c>
      <c r="G216" s="4">
        <v>31625</v>
      </c>
      <c r="H216" s="4">
        <v>20558</v>
      </c>
      <c r="I216" s="57">
        <f t="shared" si="51"/>
        <v>65.00553359683795</v>
      </c>
      <c r="J216" s="207">
        <v>31625</v>
      </c>
      <c r="K216" s="207">
        <v>26246</v>
      </c>
      <c r="L216" s="8">
        <f t="shared" si="40"/>
        <v>82.99130434782609</v>
      </c>
      <c r="M216" s="58">
        <f t="shared" si="59"/>
        <v>65.00553359683795</v>
      </c>
      <c r="N216" s="58">
        <f t="shared" si="60"/>
        <v>65.94530369868534</v>
      </c>
    </row>
    <row r="217" spans="1:14" ht="56.25">
      <c r="A217" s="284"/>
      <c r="B217" s="245"/>
      <c r="C217" s="6" t="s">
        <v>112</v>
      </c>
      <c r="D217" s="9" t="s">
        <v>71</v>
      </c>
      <c r="E217" s="4">
        <v>20424.54</v>
      </c>
      <c r="F217" s="4">
        <v>23450</v>
      </c>
      <c r="G217" s="4">
        <v>21415</v>
      </c>
      <c r="H217" s="4">
        <v>13914</v>
      </c>
      <c r="I217" s="57">
        <f t="shared" si="51"/>
        <v>64.97314966145225</v>
      </c>
      <c r="J217" s="207">
        <v>21415</v>
      </c>
      <c r="K217" s="207">
        <v>22107</v>
      </c>
      <c r="L217" s="8">
        <f t="shared" si="40"/>
        <v>103.23137987392015</v>
      </c>
      <c r="M217" s="58">
        <f t="shared" si="59"/>
        <v>64.97314966145225</v>
      </c>
      <c r="N217" s="58">
        <f t="shared" si="60"/>
        <v>68.12393326850935</v>
      </c>
    </row>
    <row r="218" spans="1:14" s="10" customFormat="1" ht="31.5">
      <c r="A218" s="284"/>
      <c r="B218" s="243">
        <v>85214</v>
      </c>
      <c r="C218" s="5"/>
      <c r="D218" s="7" t="s">
        <v>70</v>
      </c>
      <c r="E218" s="8">
        <f aca="true" t="shared" si="61" ref="E218:K218">E219</f>
        <v>56222</v>
      </c>
      <c r="F218" s="8">
        <f t="shared" si="61"/>
        <v>49057</v>
      </c>
      <c r="G218" s="8">
        <f t="shared" si="61"/>
        <v>49617</v>
      </c>
      <c r="H218" s="8">
        <f t="shared" si="61"/>
        <v>40834</v>
      </c>
      <c r="I218" s="57">
        <f t="shared" si="51"/>
        <v>82.29840578833867</v>
      </c>
      <c r="J218" s="8">
        <f t="shared" si="61"/>
        <v>49617</v>
      </c>
      <c r="K218" s="8">
        <f t="shared" si="61"/>
        <v>55839</v>
      </c>
      <c r="L218" s="8">
        <f t="shared" si="40"/>
        <v>112.54005683535885</v>
      </c>
      <c r="M218" s="57">
        <f t="shared" si="59"/>
        <v>82.29840578833867</v>
      </c>
      <c r="N218" s="57">
        <f t="shared" si="60"/>
        <v>72.62993134360215</v>
      </c>
    </row>
    <row r="219" spans="1:14" ht="45.75" customHeight="1">
      <c r="A219" s="284"/>
      <c r="B219" s="245"/>
      <c r="C219" s="6">
        <v>2030</v>
      </c>
      <c r="D219" s="9" t="s">
        <v>71</v>
      </c>
      <c r="E219" s="4">
        <v>56222</v>
      </c>
      <c r="F219" s="4">
        <v>49057</v>
      </c>
      <c r="G219" s="4">
        <v>49617</v>
      </c>
      <c r="H219" s="4">
        <v>40834</v>
      </c>
      <c r="I219" s="57">
        <f t="shared" si="51"/>
        <v>82.29840578833867</v>
      </c>
      <c r="J219" s="207">
        <v>49617</v>
      </c>
      <c r="K219" s="207">
        <v>55839</v>
      </c>
      <c r="L219" s="8">
        <f t="shared" si="40"/>
        <v>112.54005683535885</v>
      </c>
      <c r="M219" s="58">
        <f t="shared" si="59"/>
        <v>82.29840578833867</v>
      </c>
      <c r="N219" s="58">
        <f t="shared" si="60"/>
        <v>72.62993134360215</v>
      </c>
    </row>
    <row r="220" spans="1:14" s="52" customFormat="1" ht="12" customHeight="1">
      <c r="A220" s="284"/>
      <c r="B220" s="202">
        <v>85215</v>
      </c>
      <c r="C220" s="5"/>
      <c r="D220" s="7" t="s">
        <v>257</v>
      </c>
      <c r="E220" s="8">
        <f aca="true" t="shared" si="62" ref="E220:K220">E221</f>
        <v>7346</v>
      </c>
      <c r="F220" s="8">
        <f t="shared" si="62"/>
        <v>7800.37</v>
      </c>
      <c r="G220" s="8">
        <f t="shared" si="62"/>
        <v>5671</v>
      </c>
      <c r="H220" s="8">
        <f t="shared" si="62"/>
        <v>5666</v>
      </c>
      <c r="I220" s="57">
        <f t="shared" si="51"/>
        <v>99.91183212837242</v>
      </c>
      <c r="J220" s="8">
        <f t="shared" si="62"/>
        <v>5671</v>
      </c>
      <c r="K220" s="8">
        <f t="shared" si="62"/>
        <v>6000</v>
      </c>
      <c r="L220" s="8">
        <f t="shared" si="40"/>
        <v>105.80144595309469</v>
      </c>
      <c r="M220" s="57">
        <f t="shared" si="59"/>
        <v>99.91183212837242</v>
      </c>
      <c r="N220" s="57">
        <f t="shared" si="60"/>
        <v>77.13041110808602</v>
      </c>
    </row>
    <row r="221" spans="1:14" ht="45.75" customHeight="1">
      <c r="A221" s="284"/>
      <c r="B221" s="198"/>
      <c r="C221" s="6" t="s">
        <v>117</v>
      </c>
      <c r="D221" s="9" t="s">
        <v>68</v>
      </c>
      <c r="E221" s="4">
        <v>7346</v>
      </c>
      <c r="F221" s="4">
        <v>7800.37</v>
      </c>
      <c r="G221" s="4">
        <v>5671</v>
      </c>
      <c r="H221" s="4">
        <v>5666</v>
      </c>
      <c r="I221" s="57">
        <f t="shared" si="51"/>
        <v>99.91183212837242</v>
      </c>
      <c r="J221" s="207">
        <v>5671</v>
      </c>
      <c r="K221" s="207">
        <v>6000</v>
      </c>
      <c r="L221" s="8">
        <f aca="true" t="shared" si="63" ref="L221:L291">K221/J221*100</f>
        <v>105.80144595309469</v>
      </c>
      <c r="M221" s="58">
        <f t="shared" si="59"/>
        <v>99.91183212837242</v>
      </c>
      <c r="N221" s="58">
        <f t="shared" si="60"/>
        <v>77.13041110808602</v>
      </c>
    </row>
    <row r="222" spans="1:14" s="52" customFormat="1" ht="12.75">
      <c r="A222" s="284"/>
      <c r="B222" s="248">
        <v>85216</v>
      </c>
      <c r="C222" s="5"/>
      <c r="D222" s="7" t="s">
        <v>195</v>
      </c>
      <c r="E222" s="8">
        <f aca="true" t="shared" si="64" ref="E222:K222">E223</f>
        <v>241173.34</v>
      </c>
      <c r="F222" s="8">
        <f t="shared" si="64"/>
        <v>194555</v>
      </c>
      <c r="G222" s="8">
        <f t="shared" si="64"/>
        <v>182829</v>
      </c>
      <c r="H222" s="8">
        <f t="shared" si="64"/>
        <v>162026</v>
      </c>
      <c r="I222" s="57">
        <f t="shared" si="51"/>
        <v>88.62160816938231</v>
      </c>
      <c r="J222" s="8">
        <f t="shared" si="64"/>
        <v>182829</v>
      </c>
      <c r="K222" s="8">
        <f t="shared" si="64"/>
        <v>186583</v>
      </c>
      <c r="L222" s="8">
        <f t="shared" si="63"/>
        <v>102.0532847633581</v>
      </c>
      <c r="M222" s="57">
        <f t="shared" si="59"/>
        <v>88.62160816938231</v>
      </c>
      <c r="N222" s="57">
        <f t="shared" si="60"/>
        <v>67.18238425524147</v>
      </c>
    </row>
    <row r="223" spans="1:14" s="51" customFormat="1" ht="46.5" customHeight="1">
      <c r="A223" s="284"/>
      <c r="B223" s="245"/>
      <c r="C223" s="6" t="s">
        <v>112</v>
      </c>
      <c r="D223" s="9" t="s">
        <v>71</v>
      </c>
      <c r="E223" s="4">
        <v>241173.34</v>
      </c>
      <c r="F223" s="4">
        <v>194555</v>
      </c>
      <c r="G223" s="4">
        <v>182829</v>
      </c>
      <c r="H223" s="4">
        <v>162026</v>
      </c>
      <c r="I223" s="57">
        <f t="shared" si="51"/>
        <v>88.62160816938231</v>
      </c>
      <c r="J223" s="207">
        <v>182829</v>
      </c>
      <c r="K223" s="207">
        <v>186583</v>
      </c>
      <c r="L223" s="8">
        <f t="shared" si="63"/>
        <v>102.0532847633581</v>
      </c>
      <c r="M223" s="58">
        <f t="shared" si="59"/>
        <v>88.62160816938231</v>
      </c>
      <c r="N223" s="58">
        <f t="shared" si="60"/>
        <v>67.18238425524147</v>
      </c>
    </row>
    <row r="224" spans="1:14" ht="21">
      <c r="A224" s="284"/>
      <c r="B224" s="197">
        <v>85219</v>
      </c>
      <c r="C224" s="5"/>
      <c r="D224" s="7" t="s">
        <v>72</v>
      </c>
      <c r="E224" s="8">
        <f aca="true" t="shared" si="65" ref="E224:K224">E227+E228+E229+E230+E226+E225</f>
        <v>141125.91</v>
      </c>
      <c r="F224" s="8">
        <f t="shared" si="65"/>
        <v>114878.11</v>
      </c>
      <c r="G224" s="8">
        <f t="shared" si="65"/>
        <v>114878.11</v>
      </c>
      <c r="H224" s="8">
        <f t="shared" si="65"/>
        <v>90074.11</v>
      </c>
      <c r="I224" s="57">
        <f t="shared" si="51"/>
        <v>78.40841914965348</v>
      </c>
      <c r="J224" s="8">
        <f t="shared" si="65"/>
        <v>115212</v>
      </c>
      <c r="K224" s="8">
        <f t="shared" si="65"/>
        <v>115920</v>
      </c>
      <c r="L224" s="8">
        <f t="shared" si="63"/>
        <v>100.61451932090408</v>
      </c>
      <c r="M224" s="57">
        <f t="shared" si="59"/>
        <v>78.40841914965348</v>
      </c>
      <c r="N224" s="57">
        <f t="shared" si="60"/>
        <v>63.825352835634504</v>
      </c>
    </row>
    <row r="225" spans="1:14" s="29" customFormat="1" ht="45">
      <c r="A225" s="284"/>
      <c r="B225" s="206"/>
      <c r="C225" s="6" t="s">
        <v>323</v>
      </c>
      <c r="D225" s="9" t="s">
        <v>333</v>
      </c>
      <c r="E225" s="4">
        <v>58</v>
      </c>
      <c r="F225" s="4"/>
      <c r="G225" s="4"/>
      <c r="H225" s="4">
        <v>81.2</v>
      </c>
      <c r="I225" s="57" t="e">
        <f t="shared" si="51"/>
        <v>#DIV/0!</v>
      </c>
      <c r="J225" s="4">
        <v>120</v>
      </c>
      <c r="K225" s="4">
        <v>150</v>
      </c>
      <c r="L225" s="8">
        <f t="shared" si="63"/>
        <v>125</v>
      </c>
      <c r="M225" s="58" t="e">
        <f t="shared" si="59"/>
        <v>#DIV/0!</v>
      </c>
      <c r="N225" s="58"/>
    </row>
    <row r="226" spans="1:14" ht="22.5">
      <c r="A226" s="284"/>
      <c r="B226" s="199"/>
      <c r="C226" s="6" t="s">
        <v>95</v>
      </c>
      <c r="D226" s="9" t="s">
        <v>20</v>
      </c>
      <c r="E226" s="4"/>
      <c r="F226" s="4"/>
      <c r="G226" s="4"/>
      <c r="H226" s="4"/>
      <c r="I226" s="57" t="e">
        <f t="shared" si="51"/>
        <v>#DIV/0!</v>
      </c>
      <c r="J226" s="4"/>
      <c r="K226" s="4"/>
      <c r="L226" s="8" t="e">
        <f t="shared" si="63"/>
        <v>#DIV/0!</v>
      </c>
      <c r="M226" s="58"/>
      <c r="N226" s="58"/>
    </row>
    <row r="227" spans="1:14" ht="22.5">
      <c r="A227" s="284"/>
      <c r="B227" s="246"/>
      <c r="C227" s="6" t="s">
        <v>96</v>
      </c>
      <c r="D227" s="9" t="s">
        <v>25</v>
      </c>
      <c r="E227" s="4">
        <v>3170.43</v>
      </c>
      <c r="F227" s="4">
        <v>2659.8</v>
      </c>
      <c r="G227" s="4">
        <v>2659.8</v>
      </c>
      <c r="H227" s="4">
        <v>3099.32</v>
      </c>
      <c r="I227" s="57">
        <f t="shared" si="51"/>
        <v>116.5245507180991</v>
      </c>
      <c r="J227" s="4">
        <v>2600</v>
      </c>
      <c r="K227" s="4">
        <v>3000</v>
      </c>
      <c r="L227" s="8">
        <f t="shared" si="63"/>
        <v>115.38461538461537</v>
      </c>
      <c r="M227" s="58">
        <f>(H227/G227)*100</f>
        <v>116.5245507180991</v>
      </c>
      <c r="N227" s="58"/>
    </row>
    <row r="228" spans="1:14" ht="22.5">
      <c r="A228" s="284"/>
      <c r="B228" s="246"/>
      <c r="C228" s="6" t="s">
        <v>93</v>
      </c>
      <c r="D228" s="9" t="s">
        <v>16</v>
      </c>
      <c r="E228" s="4">
        <v>1796.92</v>
      </c>
      <c r="F228" s="4">
        <v>1728.87</v>
      </c>
      <c r="G228" s="4">
        <v>1728.87</v>
      </c>
      <c r="H228" s="4">
        <v>1678.21</v>
      </c>
      <c r="I228" s="57">
        <f t="shared" si="51"/>
        <v>97.06976233030824</v>
      </c>
      <c r="J228" s="4">
        <v>2000</v>
      </c>
      <c r="K228" s="4">
        <v>2300</v>
      </c>
      <c r="L228" s="8">
        <f t="shared" si="63"/>
        <v>114.99999999999999</v>
      </c>
      <c r="M228" s="58">
        <f>(H228/G228)*100</f>
        <v>97.06976233030824</v>
      </c>
      <c r="N228" s="58">
        <f>(H228/E228)*100</f>
        <v>93.39369587961623</v>
      </c>
    </row>
    <row r="229" spans="1:14" ht="22.5">
      <c r="A229" s="284"/>
      <c r="B229" s="246"/>
      <c r="C229" s="6" t="s">
        <v>90</v>
      </c>
      <c r="D229" s="9" t="s">
        <v>7</v>
      </c>
      <c r="E229" s="4">
        <v>208.56</v>
      </c>
      <c r="F229" s="4">
        <v>197.44</v>
      </c>
      <c r="G229" s="4">
        <v>197.44</v>
      </c>
      <c r="H229" s="4">
        <v>180.38</v>
      </c>
      <c r="I229" s="57">
        <f t="shared" si="51"/>
        <v>91.3594003241491</v>
      </c>
      <c r="J229" s="4">
        <v>200</v>
      </c>
      <c r="K229" s="4">
        <v>250</v>
      </c>
      <c r="L229" s="8">
        <f t="shared" si="63"/>
        <v>125</v>
      </c>
      <c r="M229" s="58">
        <f>(H229/G229)*100</f>
        <v>91.3594003241491</v>
      </c>
      <c r="N229" s="58">
        <f>(H229/E229)*100</f>
        <v>86.48830072880706</v>
      </c>
    </row>
    <row r="230" spans="1:14" ht="49.5" customHeight="1">
      <c r="A230" s="284"/>
      <c r="B230" s="246"/>
      <c r="C230" s="6">
        <v>2030</v>
      </c>
      <c r="D230" s="9" t="s">
        <v>73</v>
      </c>
      <c r="E230" s="4">
        <v>135892</v>
      </c>
      <c r="F230" s="4">
        <v>110292</v>
      </c>
      <c r="G230" s="4">
        <v>110292</v>
      </c>
      <c r="H230" s="4">
        <v>85035</v>
      </c>
      <c r="I230" s="57">
        <f t="shared" si="51"/>
        <v>77.0998803177021</v>
      </c>
      <c r="J230" s="207">
        <v>110292</v>
      </c>
      <c r="K230" s="207">
        <v>110220</v>
      </c>
      <c r="L230" s="8">
        <f t="shared" si="63"/>
        <v>99.93471874659994</v>
      </c>
      <c r="M230" s="58">
        <f>(H230/G230)*100</f>
        <v>77.0998803177021</v>
      </c>
      <c r="N230" s="58">
        <f>(H230/E230)*100</f>
        <v>62.575427545403706</v>
      </c>
    </row>
    <row r="231" spans="1:14" ht="49.5" customHeight="1">
      <c r="A231" s="284"/>
      <c r="B231" s="235" t="s">
        <v>415</v>
      </c>
      <c r="C231" s="6"/>
      <c r="D231" s="9"/>
      <c r="E231" s="4"/>
      <c r="F231" s="4"/>
      <c r="G231" s="8">
        <f>SUM(G232)</f>
        <v>42556</v>
      </c>
      <c r="H231" s="8">
        <f>SUM(H232)</f>
        <v>42556</v>
      </c>
      <c r="I231" s="8">
        <f aca="true" t="shared" si="66" ref="I231:N231">SUM(I232)</f>
        <v>100</v>
      </c>
      <c r="J231" s="8">
        <f t="shared" si="66"/>
        <v>42556</v>
      </c>
      <c r="K231" s="8">
        <f t="shared" si="66"/>
        <v>0</v>
      </c>
      <c r="L231" s="8">
        <f t="shared" si="66"/>
        <v>0</v>
      </c>
      <c r="M231" s="8">
        <f t="shared" si="66"/>
        <v>0</v>
      </c>
      <c r="N231" s="8">
        <f t="shared" si="66"/>
        <v>0</v>
      </c>
    </row>
    <row r="232" spans="1:14" ht="49.5" customHeight="1">
      <c r="A232" s="284"/>
      <c r="B232" s="236"/>
      <c r="C232" s="6" t="s">
        <v>291</v>
      </c>
      <c r="D232" s="9"/>
      <c r="E232" s="4"/>
      <c r="F232" s="4"/>
      <c r="G232" s="4">
        <v>42556</v>
      </c>
      <c r="H232" s="4">
        <v>42556</v>
      </c>
      <c r="I232" s="57">
        <f t="shared" si="51"/>
        <v>100</v>
      </c>
      <c r="J232" s="4">
        <v>42556</v>
      </c>
      <c r="K232" s="207">
        <v>0</v>
      </c>
      <c r="L232" s="8"/>
      <c r="M232" s="58"/>
      <c r="N232" s="58"/>
    </row>
    <row r="233" spans="1:14" ht="23.25" customHeight="1">
      <c r="A233" s="284"/>
      <c r="B233" s="243">
        <v>85228</v>
      </c>
      <c r="C233" s="5"/>
      <c r="D233" s="7" t="s">
        <v>74</v>
      </c>
      <c r="E233" s="8">
        <f aca="true" t="shared" si="67" ref="E233:K233">E236+E235+E234+E237</f>
        <v>53870.65</v>
      </c>
      <c r="F233" s="8">
        <f t="shared" si="67"/>
        <v>53992.9</v>
      </c>
      <c r="G233" s="8">
        <f>G236+G235+G234+G237+G238</f>
        <v>53992.9</v>
      </c>
      <c r="H233" s="8">
        <f>H236+H235+H234+H237+H238</f>
        <v>49094.69</v>
      </c>
      <c r="I233" s="57">
        <f t="shared" si="51"/>
        <v>90.92804794704489</v>
      </c>
      <c r="J233" s="8">
        <f t="shared" si="67"/>
        <v>58050</v>
      </c>
      <c r="K233" s="8">
        <f t="shared" si="67"/>
        <v>60060</v>
      </c>
      <c r="L233" s="8">
        <f t="shared" si="63"/>
        <v>103.46253229974161</v>
      </c>
      <c r="M233" s="57">
        <f>(H233/G233)*100</f>
        <v>90.92804794704489</v>
      </c>
      <c r="N233" s="57">
        <f>(H233/E233)*100</f>
        <v>91.13439321782826</v>
      </c>
    </row>
    <row r="234" spans="1:14" ht="45">
      <c r="A234" s="284"/>
      <c r="B234" s="247"/>
      <c r="C234" s="6" t="s">
        <v>323</v>
      </c>
      <c r="D234" s="9" t="s">
        <v>333</v>
      </c>
      <c r="E234" s="4">
        <v>46.4</v>
      </c>
      <c r="F234" s="4">
        <v>11.87</v>
      </c>
      <c r="G234" s="4">
        <v>11.87</v>
      </c>
      <c r="H234" s="4">
        <v>46.4</v>
      </c>
      <c r="I234" s="57">
        <f t="shared" si="51"/>
        <v>390.90143218197136</v>
      </c>
      <c r="J234" s="4">
        <v>50</v>
      </c>
      <c r="K234" s="4">
        <v>60</v>
      </c>
      <c r="L234" s="8">
        <f t="shared" si="63"/>
        <v>120</v>
      </c>
      <c r="M234" s="58"/>
      <c r="N234" s="58"/>
    </row>
    <row r="235" spans="1:14" ht="11.25" customHeight="1">
      <c r="A235" s="284"/>
      <c r="B235" s="247"/>
      <c r="C235" s="6" t="s">
        <v>95</v>
      </c>
      <c r="D235" s="9" t="s">
        <v>20</v>
      </c>
      <c r="E235" s="4"/>
      <c r="F235" s="4"/>
      <c r="G235" s="4"/>
      <c r="H235" s="4"/>
      <c r="I235" s="57" t="e">
        <f t="shared" si="51"/>
        <v>#DIV/0!</v>
      </c>
      <c r="J235" s="4"/>
      <c r="K235" s="4"/>
      <c r="L235" s="8" t="e">
        <f t="shared" si="63"/>
        <v>#DIV/0!</v>
      </c>
      <c r="M235" s="58"/>
      <c r="N235" s="58"/>
    </row>
    <row r="236" spans="1:14" ht="22.5">
      <c r="A236" s="284"/>
      <c r="B236" s="251"/>
      <c r="C236" s="6" t="s">
        <v>96</v>
      </c>
      <c r="D236" s="9" t="s">
        <v>25</v>
      </c>
      <c r="E236" s="4">
        <v>53823.53</v>
      </c>
      <c r="F236" s="4">
        <v>53981.03</v>
      </c>
      <c r="G236" s="4">
        <v>53981.03</v>
      </c>
      <c r="H236" s="4">
        <v>43558.29</v>
      </c>
      <c r="I236" s="57">
        <f t="shared" si="51"/>
        <v>80.6918467469035</v>
      </c>
      <c r="J236" s="4">
        <v>58000</v>
      </c>
      <c r="K236" s="4">
        <v>60000</v>
      </c>
      <c r="L236" s="8">
        <f t="shared" si="63"/>
        <v>103.44827586206897</v>
      </c>
      <c r="M236" s="58">
        <f>(H236/G236)*100</f>
        <v>80.6918467469035</v>
      </c>
      <c r="N236" s="58">
        <f>(H236/E236)*100</f>
        <v>80.9279696073446</v>
      </c>
    </row>
    <row r="237" spans="1:14" ht="22.5">
      <c r="A237" s="284"/>
      <c r="B237" s="199"/>
      <c r="C237" s="6" t="s">
        <v>90</v>
      </c>
      <c r="D237" s="9" t="s">
        <v>7</v>
      </c>
      <c r="E237" s="4">
        <v>0.72</v>
      </c>
      <c r="F237" s="4"/>
      <c r="G237" s="4"/>
      <c r="H237" s="4"/>
      <c r="I237" s="57" t="e">
        <f t="shared" si="51"/>
        <v>#DIV/0!</v>
      </c>
      <c r="J237" s="4"/>
      <c r="K237" s="4"/>
      <c r="L237" s="8" t="e">
        <f t="shared" si="63"/>
        <v>#DIV/0!</v>
      </c>
      <c r="M237" s="58"/>
      <c r="N237" s="58"/>
    </row>
    <row r="238" spans="1:14" ht="22.5">
      <c r="A238" s="284"/>
      <c r="B238" s="199"/>
      <c r="C238" s="6" t="s">
        <v>112</v>
      </c>
      <c r="D238" s="9"/>
      <c r="E238" s="4"/>
      <c r="F238" s="4"/>
      <c r="G238" s="4">
        <v>0</v>
      </c>
      <c r="H238" s="4">
        <v>5490</v>
      </c>
      <c r="I238" s="57" t="e">
        <f t="shared" si="51"/>
        <v>#DIV/0!</v>
      </c>
      <c r="J238" s="207">
        <v>5490</v>
      </c>
      <c r="K238" s="207">
        <v>6000</v>
      </c>
      <c r="L238" s="8"/>
      <c r="M238" s="58"/>
      <c r="N238" s="58"/>
    </row>
    <row r="239" spans="1:14" ht="21">
      <c r="A239" s="284"/>
      <c r="B239" s="199" t="s">
        <v>306</v>
      </c>
      <c r="C239" s="6"/>
      <c r="D239" s="7" t="s">
        <v>307</v>
      </c>
      <c r="E239" s="8">
        <f>SUM(E240:E241)</f>
        <v>132282</v>
      </c>
      <c r="F239" s="8">
        <f>F241</f>
        <v>79196</v>
      </c>
      <c r="G239" s="8">
        <f>G241</f>
        <v>144050</v>
      </c>
      <c r="H239" s="8">
        <f>H241</f>
        <v>102257</v>
      </c>
      <c r="I239" s="57">
        <f t="shared" si="51"/>
        <v>70.98715723707046</v>
      </c>
      <c r="J239" s="8">
        <f>J241</f>
        <v>144050</v>
      </c>
      <c r="K239" s="8">
        <f>K241</f>
        <v>95644</v>
      </c>
      <c r="L239" s="8">
        <f t="shared" si="63"/>
        <v>66.3963901423117</v>
      </c>
      <c r="M239" s="58">
        <f>(H239/G239)*100</f>
        <v>70.98715723707046</v>
      </c>
      <c r="N239" s="57"/>
    </row>
    <row r="240" spans="1:14" ht="22.5">
      <c r="A240" s="284"/>
      <c r="B240" s="199"/>
      <c r="C240" s="6" t="s">
        <v>94</v>
      </c>
      <c r="D240" s="7"/>
      <c r="E240" s="4">
        <v>1500</v>
      </c>
      <c r="F240" s="8"/>
      <c r="G240" s="8"/>
      <c r="H240" s="8"/>
      <c r="I240" s="57" t="e">
        <f t="shared" si="51"/>
        <v>#DIV/0!</v>
      </c>
      <c r="J240" s="8"/>
      <c r="K240" s="8"/>
      <c r="L240" s="8"/>
      <c r="M240" s="58"/>
      <c r="N240" s="57"/>
    </row>
    <row r="241" spans="1:14" ht="47.25" customHeight="1">
      <c r="A241" s="284"/>
      <c r="B241" s="199"/>
      <c r="C241" s="6" t="s">
        <v>112</v>
      </c>
      <c r="D241" s="9" t="s">
        <v>73</v>
      </c>
      <c r="E241" s="4">
        <v>130782</v>
      </c>
      <c r="F241" s="4">
        <v>79196</v>
      </c>
      <c r="G241" s="4">
        <v>144050</v>
      </c>
      <c r="H241" s="4">
        <v>102257</v>
      </c>
      <c r="I241" s="57">
        <f t="shared" si="51"/>
        <v>70.98715723707046</v>
      </c>
      <c r="J241" s="207">
        <v>144050</v>
      </c>
      <c r="K241" s="207">
        <v>95644</v>
      </c>
      <c r="L241" s="8">
        <f t="shared" si="63"/>
        <v>66.3963901423117</v>
      </c>
      <c r="M241" s="58">
        <f>(H241/G241)*100</f>
        <v>70.98715723707046</v>
      </c>
      <c r="N241" s="58"/>
    </row>
    <row r="242" spans="1:14" ht="12.75">
      <c r="A242" s="284"/>
      <c r="B242" s="243">
        <v>85295</v>
      </c>
      <c r="C242" s="5"/>
      <c r="D242" s="7" t="s">
        <v>8</v>
      </c>
      <c r="E242" s="8">
        <f aca="true" t="shared" si="68" ref="E242:K242">E246+E245+E244+E243</f>
        <v>0</v>
      </c>
      <c r="F242" s="8">
        <f t="shared" si="68"/>
        <v>879750</v>
      </c>
      <c r="G242" s="8">
        <f t="shared" si="68"/>
        <v>0</v>
      </c>
      <c r="H242" s="8">
        <f t="shared" si="68"/>
        <v>0</v>
      </c>
      <c r="I242" s="57" t="e">
        <f t="shared" si="51"/>
        <v>#DIV/0!</v>
      </c>
      <c r="J242" s="8">
        <f t="shared" si="68"/>
        <v>0</v>
      </c>
      <c r="K242" s="8">
        <f t="shared" si="68"/>
        <v>0</v>
      </c>
      <c r="L242" s="8" t="e">
        <f t="shared" si="63"/>
        <v>#DIV/0!</v>
      </c>
      <c r="M242" s="57"/>
      <c r="N242" s="57"/>
    </row>
    <row r="243" spans="1:14" ht="45">
      <c r="A243" s="284"/>
      <c r="B243" s="247"/>
      <c r="C243" s="6" t="s">
        <v>94</v>
      </c>
      <c r="D243" s="9" t="s">
        <v>331</v>
      </c>
      <c r="E243" s="4"/>
      <c r="F243" s="4"/>
      <c r="G243" s="4"/>
      <c r="H243" s="4"/>
      <c r="I243" s="57" t="e">
        <f t="shared" si="51"/>
        <v>#DIV/0!</v>
      </c>
      <c r="J243" s="4"/>
      <c r="K243" s="4"/>
      <c r="L243" s="8" t="e">
        <f t="shared" si="63"/>
        <v>#DIV/0!</v>
      </c>
      <c r="M243" s="58"/>
      <c r="N243" s="58"/>
    </row>
    <row r="244" spans="1:14" s="29" customFormat="1" ht="42" customHeight="1">
      <c r="A244" s="284"/>
      <c r="B244" s="247"/>
      <c r="C244" s="6" t="s">
        <v>117</v>
      </c>
      <c r="D244" s="9" t="s">
        <v>68</v>
      </c>
      <c r="E244" s="4"/>
      <c r="F244" s="4"/>
      <c r="G244" s="4"/>
      <c r="H244" s="4"/>
      <c r="I244" s="57" t="e">
        <f t="shared" si="51"/>
        <v>#DIV/0!</v>
      </c>
      <c r="J244" s="4"/>
      <c r="K244" s="4"/>
      <c r="L244" s="8" t="e">
        <f t="shared" si="63"/>
        <v>#DIV/0!</v>
      </c>
      <c r="M244" s="58"/>
      <c r="N244" s="58"/>
    </row>
    <row r="245" spans="1:14" ht="41.25" customHeight="1">
      <c r="A245" s="284"/>
      <c r="B245" s="245"/>
      <c r="C245" s="6">
        <v>2030</v>
      </c>
      <c r="D245" s="9" t="s">
        <v>58</v>
      </c>
      <c r="E245" s="4"/>
      <c r="F245" s="4"/>
      <c r="G245" s="4"/>
      <c r="H245" s="4"/>
      <c r="I245" s="57" t="e">
        <f t="shared" si="51"/>
        <v>#DIV/0!</v>
      </c>
      <c r="J245" s="4"/>
      <c r="K245" s="4"/>
      <c r="L245" s="8" t="e">
        <f t="shared" si="63"/>
        <v>#DIV/0!</v>
      </c>
      <c r="M245" s="58"/>
      <c r="N245" s="58"/>
    </row>
    <row r="246" spans="1:14" ht="80.25" customHeight="1">
      <c r="A246" s="166"/>
      <c r="B246" s="200"/>
      <c r="C246" s="6" t="s">
        <v>193</v>
      </c>
      <c r="D246" s="9" t="s">
        <v>145</v>
      </c>
      <c r="E246" s="4"/>
      <c r="F246" s="4">
        <v>879750</v>
      </c>
      <c r="G246" s="4"/>
      <c r="H246" s="4"/>
      <c r="I246" s="57" t="e">
        <f t="shared" si="51"/>
        <v>#DIV/0!</v>
      </c>
      <c r="J246" s="4"/>
      <c r="K246" s="4"/>
      <c r="L246" s="8"/>
      <c r="M246" s="58"/>
      <c r="N246" s="58"/>
    </row>
    <row r="247" spans="1:14" ht="31.5">
      <c r="A247" s="238">
        <v>854</v>
      </c>
      <c r="B247" s="197"/>
      <c r="C247" s="6"/>
      <c r="D247" s="7" t="s">
        <v>75</v>
      </c>
      <c r="E247" s="8">
        <f aca="true" t="shared" si="69" ref="E247:K247">E248</f>
        <v>120216.56</v>
      </c>
      <c r="F247" s="8">
        <f t="shared" si="69"/>
        <v>0</v>
      </c>
      <c r="G247" s="8">
        <f t="shared" si="69"/>
        <v>68210</v>
      </c>
      <c r="H247" s="8">
        <f t="shared" si="69"/>
        <v>68210</v>
      </c>
      <c r="I247" s="57">
        <f t="shared" si="51"/>
        <v>100</v>
      </c>
      <c r="J247" s="8">
        <f t="shared" si="69"/>
        <v>68210</v>
      </c>
      <c r="K247" s="8">
        <f t="shared" si="69"/>
        <v>70000</v>
      </c>
      <c r="L247" s="8">
        <f t="shared" si="63"/>
        <v>102.62424864389385</v>
      </c>
      <c r="M247" s="57">
        <f>(H247/G247)*100</f>
        <v>100</v>
      </c>
      <c r="N247" s="57">
        <f>(H247/E247)*100</f>
        <v>56.73927119524964</v>
      </c>
    </row>
    <row r="248" spans="1:14" ht="21.75" customHeight="1">
      <c r="A248" s="239"/>
      <c r="B248" s="243">
        <v>85415</v>
      </c>
      <c r="C248" s="6"/>
      <c r="D248" s="7" t="s">
        <v>76</v>
      </c>
      <c r="E248" s="8">
        <f aca="true" t="shared" si="70" ref="E248:K248">E249+E250</f>
        <v>120216.56</v>
      </c>
      <c r="F248" s="8">
        <f t="shared" si="70"/>
        <v>0</v>
      </c>
      <c r="G248" s="8">
        <f t="shared" si="70"/>
        <v>68210</v>
      </c>
      <c r="H248" s="8">
        <f t="shared" si="70"/>
        <v>68210</v>
      </c>
      <c r="I248" s="57">
        <f t="shared" si="51"/>
        <v>100</v>
      </c>
      <c r="J248" s="8">
        <f t="shared" si="70"/>
        <v>68210</v>
      </c>
      <c r="K248" s="8">
        <f t="shared" si="70"/>
        <v>70000</v>
      </c>
      <c r="L248" s="8">
        <f t="shared" si="63"/>
        <v>102.62424864389385</v>
      </c>
      <c r="M248" s="57">
        <f>(H248/G248)*100</f>
        <v>100</v>
      </c>
      <c r="N248" s="57">
        <f>(H248/E248)*100</f>
        <v>56.73927119524964</v>
      </c>
    </row>
    <row r="249" spans="1:14" ht="47.25" customHeight="1">
      <c r="A249" s="239"/>
      <c r="B249" s="247"/>
      <c r="C249" s="6">
        <v>2030</v>
      </c>
      <c r="D249" s="9" t="s">
        <v>318</v>
      </c>
      <c r="E249" s="4">
        <v>116808</v>
      </c>
      <c r="F249" s="4"/>
      <c r="G249" s="4">
        <v>68210</v>
      </c>
      <c r="H249" s="4">
        <v>68210</v>
      </c>
      <c r="I249" s="57">
        <f t="shared" si="51"/>
        <v>100</v>
      </c>
      <c r="J249" s="207">
        <v>68210</v>
      </c>
      <c r="K249" s="207">
        <v>70000</v>
      </c>
      <c r="L249" s="8">
        <f t="shared" si="63"/>
        <v>102.62424864389385</v>
      </c>
      <c r="M249" s="58">
        <f>(H249/G249)*100</f>
        <v>100</v>
      </c>
      <c r="N249" s="58">
        <f>(H249/E249)*100</f>
        <v>58.39497294705842</v>
      </c>
    </row>
    <row r="250" spans="1:14" ht="47.25" customHeight="1">
      <c r="A250" s="242"/>
      <c r="B250" s="244"/>
      <c r="C250" s="6" t="s">
        <v>264</v>
      </c>
      <c r="D250" s="9"/>
      <c r="E250" s="4">
        <v>3408.56</v>
      </c>
      <c r="F250" s="4"/>
      <c r="G250" s="4"/>
      <c r="H250" s="4"/>
      <c r="I250" s="57" t="e">
        <f t="shared" si="51"/>
        <v>#DIV/0!</v>
      </c>
      <c r="J250" s="207"/>
      <c r="K250" s="207"/>
      <c r="L250" s="8" t="e">
        <f t="shared" si="63"/>
        <v>#DIV/0!</v>
      </c>
      <c r="M250" s="58"/>
      <c r="N250" s="58"/>
    </row>
    <row r="251" spans="1:14" ht="12.75">
      <c r="A251" s="280">
        <v>855</v>
      </c>
      <c r="B251" s="203"/>
      <c r="C251" s="5"/>
      <c r="D251" s="7" t="s">
        <v>312</v>
      </c>
      <c r="E251" s="192">
        <f aca="true" t="shared" si="71" ref="E251:K251">E252+E254+E261+E263</f>
        <v>8501725.56</v>
      </c>
      <c r="F251" s="8">
        <f t="shared" si="71"/>
        <v>8540371.06</v>
      </c>
      <c r="G251" s="8">
        <f t="shared" si="71"/>
        <v>8558396.58</v>
      </c>
      <c r="H251" s="8">
        <f t="shared" si="71"/>
        <v>6487961.3</v>
      </c>
      <c r="I251" s="57">
        <f t="shared" si="51"/>
        <v>75.80814045427186</v>
      </c>
      <c r="J251" s="8">
        <f t="shared" si="71"/>
        <v>8204459</v>
      </c>
      <c r="K251" s="8">
        <f t="shared" si="71"/>
        <v>7722798</v>
      </c>
      <c r="L251" s="8">
        <f t="shared" si="63"/>
        <v>94.1292777500625</v>
      </c>
      <c r="M251" s="58">
        <f aca="true" t="shared" si="72" ref="M251:M256">(H251/G251)*100</f>
        <v>75.80814045427186</v>
      </c>
      <c r="N251" s="57"/>
    </row>
    <row r="252" spans="1:14" ht="21">
      <c r="A252" s="281"/>
      <c r="B252" s="203" t="s">
        <v>308</v>
      </c>
      <c r="C252" s="5"/>
      <c r="D252" s="7" t="s">
        <v>313</v>
      </c>
      <c r="E252" s="192">
        <f aca="true" t="shared" si="73" ref="E252:K252">E253</f>
        <v>5003488.94</v>
      </c>
      <c r="F252" s="8">
        <f t="shared" si="73"/>
        <v>4887384</v>
      </c>
      <c r="G252" s="8">
        <f t="shared" si="73"/>
        <v>4738548</v>
      </c>
      <c r="H252" s="8">
        <f t="shared" si="73"/>
        <v>3628825</v>
      </c>
      <c r="I252" s="57">
        <f t="shared" si="51"/>
        <v>76.58094842555145</v>
      </c>
      <c r="J252" s="8">
        <f t="shared" si="73"/>
        <v>4738548</v>
      </c>
      <c r="K252" s="8">
        <f t="shared" si="73"/>
        <v>4368854</v>
      </c>
      <c r="L252" s="8">
        <f t="shared" si="63"/>
        <v>92.19815859204128</v>
      </c>
      <c r="M252" s="58">
        <f t="shared" si="72"/>
        <v>76.58094842555145</v>
      </c>
      <c r="N252" s="57"/>
    </row>
    <row r="253" spans="1:14" ht="71.25" customHeight="1">
      <c r="A253" s="281"/>
      <c r="B253" s="203"/>
      <c r="C253" s="6" t="s">
        <v>293</v>
      </c>
      <c r="D253" s="9" t="s">
        <v>299</v>
      </c>
      <c r="E253" s="4">
        <v>5003488.94</v>
      </c>
      <c r="F253" s="4">
        <v>4887384</v>
      </c>
      <c r="G253" s="4">
        <v>4738548</v>
      </c>
      <c r="H253" s="4">
        <v>3628825</v>
      </c>
      <c r="I253" s="57">
        <f t="shared" si="51"/>
        <v>76.58094842555145</v>
      </c>
      <c r="J253" s="207">
        <v>4738548</v>
      </c>
      <c r="K253" s="207">
        <v>4368854</v>
      </c>
      <c r="L253" s="8">
        <f t="shared" si="63"/>
        <v>92.19815859204128</v>
      </c>
      <c r="M253" s="58">
        <f t="shared" si="72"/>
        <v>76.58094842555145</v>
      </c>
      <c r="N253" s="58"/>
    </row>
    <row r="254" spans="1:14" ht="72.75" customHeight="1">
      <c r="A254" s="281"/>
      <c r="B254" s="243" t="s">
        <v>309</v>
      </c>
      <c r="C254" s="6"/>
      <c r="D254" s="7" t="s">
        <v>314</v>
      </c>
      <c r="E254" s="8">
        <f aca="true" t="shared" si="74" ref="E254:K254">E256+E257+E258+E259+E260+E255</f>
        <v>3496042.6199999996</v>
      </c>
      <c r="F254" s="8">
        <f t="shared" si="74"/>
        <v>3650877.87</v>
      </c>
      <c r="G254" s="8">
        <f t="shared" si="74"/>
        <v>3441958.39</v>
      </c>
      <c r="H254" s="8">
        <f t="shared" si="74"/>
        <v>2554347.3</v>
      </c>
      <c r="I254" s="57">
        <f t="shared" si="51"/>
        <v>74.2120331094415</v>
      </c>
      <c r="J254" s="8">
        <f t="shared" si="74"/>
        <v>3465840</v>
      </c>
      <c r="K254" s="8">
        <f t="shared" si="74"/>
        <v>3353869</v>
      </c>
      <c r="L254" s="8">
        <f t="shared" si="63"/>
        <v>96.76929690926298</v>
      </c>
      <c r="M254" s="57">
        <f t="shared" si="72"/>
        <v>74.2120331094415</v>
      </c>
      <c r="N254" s="57"/>
    </row>
    <row r="255" spans="1:14" ht="45">
      <c r="A255" s="281"/>
      <c r="B255" s="247"/>
      <c r="C255" s="6" t="s">
        <v>323</v>
      </c>
      <c r="D255" s="9" t="s">
        <v>333</v>
      </c>
      <c r="E255" s="4">
        <v>375.01</v>
      </c>
      <c r="F255" s="4">
        <v>11.87</v>
      </c>
      <c r="G255" s="4">
        <v>11.87</v>
      </c>
      <c r="H255" s="4"/>
      <c r="I255" s="57">
        <f t="shared" si="51"/>
        <v>0</v>
      </c>
      <c r="J255" s="4">
        <v>10</v>
      </c>
      <c r="K255" s="4">
        <v>10</v>
      </c>
      <c r="L255" s="8">
        <f t="shared" si="63"/>
        <v>100</v>
      </c>
      <c r="M255" s="58">
        <f t="shared" si="72"/>
        <v>0</v>
      </c>
      <c r="N255" s="58"/>
    </row>
    <row r="256" spans="1:14" ht="22.5">
      <c r="A256" s="281"/>
      <c r="B256" s="247"/>
      <c r="C256" s="6" t="s">
        <v>93</v>
      </c>
      <c r="D256" s="9" t="s">
        <v>16</v>
      </c>
      <c r="E256" s="4">
        <v>4.23</v>
      </c>
      <c r="F256" s="4"/>
      <c r="G256" s="4"/>
      <c r="H256" s="4"/>
      <c r="I256" s="57" t="e">
        <f t="shared" si="51"/>
        <v>#DIV/0!</v>
      </c>
      <c r="J256" s="4"/>
      <c r="K256" s="4"/>
      <c r="L256" s="8" t="e">
        <f t="shared" si="63"/>
        <v>#DIV/0!</v>
      </c>
      <c r="M256" s="58" t="e">
        <f t="shared" si="72"/>
        <v>#DIV/0!</v>
      </c>
      <c r="N256" s="58"/>
    </row>
    <row r="257" spans="1:14" ht="22.5">
      <c r="A257" s="281"/>
      <c r="B257" s="247"/>
      <c r="C257" s="6" t="s">
        <v>90</v>
      </c>
      <c r="D257" s="9" t="s">
        <v>67</v>
      </c>
      <c r="E257" s="4"/>
      <c r="F257" s="4"/>
      <c r="G257" s="4"/>
      <c r="H257" s="4"/>
      <c r="I257" s="57" t="e">
        <f t="shared" si="51"/>
        <v>#DIV/0!</v>
      </c>
      <c r="J257" s="4"/>
      <c r="K257" s="4"/>
      <c r="L257" s="8" t="e">
        <f t="shared" si="63"/>
        <v>#DIV/0!</v>
      </c>
      <c r="M257" s="58"/>
      <c r="N257" s="58"/>
    </row>
    <row r="258" spans="1:14" ht="36" customHeight="1">
      <c r="A258" s="281"/>
      <c r="B258" s="247"/>
      <c r="C258" s="6" t="s">
        <v>187</v>
      </c>
      <c r="D258" s="9" t="s">
        <v>202</v>
      </c>
      <c r="E258" s="4"/>
      <c r="F258" s="4"/>
      <c r="G258" s="4"/>
      <c r="H258" s="4"/>
      <c r="I258" s="57" t="e">
        <f t="shared" si="51"/>
        <v>#DIV/0!</v>
      </c>
      <c r="J258" s="4"/>
      <c r="K258" s="4"/>
      <c r="L258" s="8" t="e">
        <f t="shared" si="63"/>
        <v>#DIV/0!</v>
      </c>
      <c r="M258" s="58"/>
      <c r="N258" s="58"/>
    </row>
    <row r="259" spans="1:14" ht="79.5" customHeight="1">
      <c r="A259" s="281"/>
      <c r="B259" s="247"/>
      <c r="C259" s="6" t="s">
        <v>117</v>
      </c>
      <c r="D259" s="9" t="s">
        <v>317</v>
      </c>
      <c r="E259" s="4">
        <v>3477140.85</v>
      </c>
      <c r="F259" s="4">
        <v>3650866</v>
      </c>
      <c r="G259" s="4">
        <v>3423830</v>
      </c>
      <c r="H259" s="4">
        <v>2522876</v>
      </c>
      <c r="I259" s="57">
        <f t="shared" si="51"/>
        <v>73.68578463299872</v>
      </c>
      <c r="J259" s="207">
        <v>3423830</v>
      </c>
      <c r="K259" s="207">
        <v>3308859</v>
      </c>
      <c r="L259" s="8">
        <f t="shared" si="63"/>
        <v>96.64203538142957</v>
      </c>
      <c r="M259" s="58">
        <f>(H259/G259)*100</f>
        <v>73.68578463299872</v>
      </c>
      <c r="N259" s="58"/>
    </row>
    <row r="260" spans="1:14" ht="72.75" customHeight="1">
      <c r="A260" s="281"/>
      <c r="B260" s="251"/>
      <c r="C260" s="6" t="s">
        <v>158</v>
      </c>
      <c r="D260" s="9" t="s">
        <v>315</v>
      </c>
      <c r="E260" s="4">
        <v>18522.53</v>
      </c>
      <c r="F260" s="4"/>
      <c r="G260" s="4">
        <v>18116.52</v>
      </c>
      <c r="H260" s="4">
        <v>31471.3</v>
      </c>
      <c r="I260" s="57">
        <f t="shared" si="51"/>
        <v>173.7160337636588</v>
      </c>
      <c r="J260" s="207">
        <v>42000</v>
      </c>
      <c r="K260" s="207">
        <v>45000</v>
      </c>
      <c r="L260" s="8">
        <f t="shared" si="63"/>
        <v>107.14285714285714</v>
      </c>
      <c r="M260" s="58">
        <f>(H260/G260)*100</f>
        <v>173.7160337636588</v>
      </c>
      <c r="N260" s="58"/>
    </row>
    <row r="261" spans="1:14" ht="21">
      <c r="A261" s="281"/>
      <c r="B261" s="203" t="s">
        <v>310</v>
      </c>
      <c r="C261" s="5"/>
      <c r="D261" s="7" t="s">
        <v>316</v>
      </c>
      <c r="E261" s="8">
        <f aca="true" t="shared" si="75" ref="E261:K261">E262</f>
        <v>142</v>
      </c>
      <c r="F261" s="8">
        <f t="shared" si="75"/>
        <v>10</v>
      </c>
      <c r="G261" s="8">
        <f t="shared" si="75"/>
        <v>71</v>
      </c>
      <c r="H261" s="8">
        <f t="shared" si="75"/>
        <v>71</v>
      </c>
      <c r="I261" s="57">
        <f t="shared" si="51"/>
        <v>100</v>
      </c>
      <c r="J261" s="8">
        <f t="shared" si="75"/>
        <v>71</v>
      </c>
      <c r="K261" s="8">
        <f t="shared" si="75"/>
        <v>75</v>
      </c>
      <c r="L261" s="8">
        <f t="shared" si="63"/>
        <v>105.63380281690141</v>
      </c>
      <c r="M261" s="57">
        <f>(H261/G261)*100</f>
        <v>100</v>
      </c>
      <c r="N261" s="57"/>
    </row>
    <row r="262" spans="1:14" ht="85.5" customHeight="1">
      <c r="A262" s="281"/>
      <c r="B262" s="203"/>
      <c r="C262" s="6" t="s">
        <v>117</v>
      </c>
      <c r="D262" s="9" t="s">
        <v>317</v>
      </c>
      <c r="E262" s="4">
        <v>142</v>
      </c>
      <c r="F262" s="4">
        <v>10</v>
      </c>
      <c r="G262" s="4">
        <v>71</v>
      </c>
      <c r="H262" s="4">
        <v>71</v>
      </c>
      <c r="I262" s="57">
        <f t="shared" si="51"/>
        <v>100</v>
      </c>
      <c r="J262" s="4">
        <v>71</v>
      </c>
      <c r="K262" s="4">
        <v>75</v>
      </c>
      <c r="L262" s="8">
        <f t="shared" si="63"/>
        <v>105.63380281690141</v>
      </c>
      <c r="M262" s="58"/>
      <c r="N262" s="58"/>
    </row>
    <row r="263" spans="1:14" ht="21">
      <c r="A263" s="281"/>
      <c r="B263" s="203" t="s">
        <v>311</v>
      </c>
      <c r="C263" s="5"/>
      <c r="D263" s="7" t="s">
        <v>251</v>
      </c>
      <c r="E263" s="8">
        <f aca="true" t="shared" si="76" ref="E263:K263">E265</f>
        <v>2052</v>
      </c>
      <c r="F263" s="8">
        <f t="shared" si="76"/>
        <v>2099.19</v>
      </c>
      <c r="G263" s="8">
        <f>G265+G264</f>
        <v>377819.19</v>
      </c>
      <c r="H263" s="8">
        <f>H265+H264</f>
        <v>304718</v>
      </c>
      <c r="I263" s="57">
        <f t="shared" si="51"/>
        <v>80.65180596041192</v>
      </c>
      <c r="J263" s="8">
        <f t="shared" si="76"/>
        <v>0</v>
      </c>
      <c r="K263" s="8">
        <f t="shared" si="76"/>
        <v>0</v>
      </c>
      <c r="L263" s="8" t="e">
        <f t="shared" si="63"/>
        <v>#DIV/0!</v>
      </c>
      <c r="M263" s="57"/>
      <c r="N263" s="57"/>
    </row>
    <row r="264" spans="1:14" ht="21">
      <c r="A264" s="281"/>
      <c r="B264" s="203"/>
      <c r="C264" s="197" t="s">
        <v>117</v>
      </c>
      <c r="D264" s="7"/>
      <c r="E264" s="8"/>
      <c r="F264" s="8"/>
      <c r="G264" s="8">
        <v>375720</v>
      </c>
      <c r="H264" s="8">
        <v>304718</v>
      </c>
      <c r="I264" s="57">
        <f aca="true" t="shared" si="77" ref="I264:I327">H264/G264*100</f>
        <v>81.10241669328224</v>
      </c>
      <c r="J264" s="209">
        <v>375720</v>
      </c>
      <c r="K264" s="209">
        <v>192965</v>
      </c>
      <c r="L264" s="8"/>
      <c r="M264" s="57"/>
      <c r="N264" s="57"/>
    </row>
    <row r="265" spans="1:14" ht="61.5" customHeight="1">
      <c r="A265" s="281"/>
      <c r="B265" s="203"/>
      <c r="C265" s="6" t="s">
        <v>112</v>
      </c>
      <c r="D265" s="196" t="s">
        <v>318</v>
      </c>
      <c r="E265" s="4">
        <v>2052</v>
      </c>
      <c r="F265" s="4">
        <v>2099.19</v>
      </c>
      <c r="G265" s="4">
        <v>2099.19</v>
      </c>
      <c r="H265" s="4"/>
      <c r="I265" s="57">
        <f t="shared" si="77"/>
        <v>0</v>
      </c>
      <c r="J265" s="4"/>
      <c r="K265" s="4"/>
      <c r="L265" s="8" t="e">
        <f t="shared" si="63"/>
        <v>#DIV/0!</v>
      </c>
      <c r="M265" s="58"/>
      <c r="N265" s="58"/>
    </row>
    <row r="266" spans="1:14" ht="43.5" customHeight="1">
      <c r="A266" s="238">
        <v>900</v>
      </c>
      <c r="B266" s="197"/>
      <c r="C266" s="6"/>
      <c r="D266" s="7" t="s">
        <v>77</v>
      </c>
      <c r="E266" s="192">
        <f aca="true" t="shared" si="78" ref="E266:K266">E267+E292+E286+E272+E282+E279+E290</f>
        <v>1070708.59</v>
      </c>
      <c r="F266" s="8">
        <f t="shared" si="78"/>
        <v>2502834.36</v>
      </c>
      <c r="G266" s="8">
        <f t="shared" si="78"/>
        <v>1681587.73</v>
      </c>
      <c r="H266" s="8">
        <f t="shared" si="78"/>
        <v>777786.78</v>
      </c>
      <c r="I266" s="57">
        <f t="shared" si="77"/>
        <v>46.2531193659459</v>
      </c>
      <c r="J266" s="8">
        <f t="shared" si="78"/>
        <v>1157567.48</v>
      </c>
      <c r="K266" s="8">
        <f t="shared" si="78"/>
        <v>1254400</v>
      </c>
      <c r="L266" s="8">
        <f t="shared" si="63"/>
        <v>108.36517280184823</v>
      </c>
      <c r="M266" s="58">
        <f>(H266/G266)*100</f>
        <v>46.2531193659459</v>
      </c>
      <c r="N266" s="58">
        <f>(H266/E266)*100</f>
        <v>72.64224713093971</v>
      </c>
    </row>
    <row r="267" spans="1:14" ht="21">
      <c r="A267" s="239"/>
      <c r="B267" s="243">
        <v>90001</v>
      </c>
      <c r="C267" s="6"/>
      <c r="D267" s="7" t="s">
        <v>78</v>
      </c>
      <c r="E267" s="8">
        <f aca="true" t="shared" si="79" ref="E267:K267">E270+E268+E271+E269</f>
        <v>0</v>
      </c>
      <c r="F267" s="8">
        <f t="shared" si="79"/>
        <v>481552</v>
      </c>
      <c r="G267" s="8">
        <f t="shared" si="79"/>
        <v>2000</v>
      </c>
      <c r="H267" s="8">
        <f t="shared" si="79"/>
        <v>0</v>
      </c>
      <c r="I267" s="57">
        <f t="shared" si="77"/>
        <v>0</v>
      </c>
      <c r="J267" s="8">
        <f t="shared" si="79"/>
        <v>200</v>
      </c>
      <c r="K267" s="8">
        <f t="shared" si="79"/>
        <v>400</v>
      </c>
      <c r="L267" s="8">
        <f t="shared" si="63"/>
        <v>200</v>
      </c>
      <c r="M267" s="57">
        <f>(H267/G267)*100</f>
        <v>0</v>
      </c>
      <c r="N267" s="58" t="e">
        <f>(H267/E267)*100</f>
        <v>#DIV/0!</v>
      </c>
    </row>
    <row r="268" spans="1:14" ht="22.5">
      <c r="A268" s="239"/>
      <c r="B268" s="244"/>
      <c r="C268" s="6" t="s">
        <v>96</v>
      </c>
      <c r="D268" s="9" t="s">
        <v>25</v>
      </c>
      <c r="E268" s="4"/>
      <c r="F268" s="4">
        <v>1000</v>
      </c>
      <c r="G268" s="4">
        <v>1000</v>
      </c>
      <c r="H268" s="4"/>
      <c r="I268" s="57">
        <f t="shared" si="77"/>
        <v>0</v>
      </c>
      <c r="J268" s="4">
        <v>100</v>
      </c>
      <c r="K268" s="4">
        <v>200</v>
      </c>
      <c r="L268" s="8">
        <f t="shared" si="63"/>
        <v>200</v>
      </c>
      <c r="M268" s="58">
        <f>(H268/G268)*100</f>
        <v>0</v>
      </c>
      <c r="N268" s="58" t="e">
        <f>(H268/E268)*100</f>
        <v>#DIV/0!</v>
      </c>
    </row>
    <row r="269" spans="1:14" ht="22.5">
      <c r="A269" s="239"/>
      <c r="B269" s="244"/>
      <c r="C269" s="6" t="s">
        <v>94</v>
      </c>
      <c r="D269" s="9" t="s">
        <v>17</v>
      </c>
      <c r="E269" s="4"/>
      <c r="F269" s="4"/>
      <c r="G269" s="4"/>
      <c r="H269" s="4"/>
      <c r="I269" s="57" t="e">
        <f t="shared" si="77"/>
        <v>#DIV/0!</v>
      </c>
      <c r="J269" s="4"/>
      <c r="K269" s="4"/>
      <c r="L269" s="8" t="e">
        <f t="shared" si="63"/>
        <v>#DIV/0!</v>
      </c>
      <c r="M269" s="58"/>
      <c r="N269" s="58"/>
    </row>
    <row r="270" spans="1:14" ht="24.75" customHeight="1">
      <c r="A270" s="239"/>
      <c r="B270" s="244"/>
      <c r="C270" s="6" t="s">
        <v>90</v>
      </c>
      <c r="D270" s="9" t="s">
        <v>7</v>
      </c>
      <c r="E270" s="4"/>
      <c r="F270" s="4">
        <v>1000</v>
      </c>
      <c r="G270" s="4">
        <v>1000</v>
      </c>
      <c r="H270" s="4"/>
      <c r="I270" s="57">
        <f t="shared" si="77"/>
        <v>0</v>
      </c>
      <c r="J270" s="4">
        <v>100</v>
      </c>
      <c r="K270" s="4">
        <v>200</v>
      </c>
      <c r="L270" s="8">
        <f t="shared" si="63"/>
        <v>200</v>
      </c>
      <c r="M270" s="58"/>
      <c r="N270" s="58"/>
    </row>
    <row r="271" spans="1:14" ht="69" customHeight="1">
      <c r="A271" s="239"/>
      <c r="B271" s="244"/>
      <c r="C271" s="61" t="s">
        <v>193</v>
      </c>
      <c r="D271" s="9" t="s">
        <v>145</v>
      </c>
      <c r="E271" s="4"/>
      <c r="F271" s="4">
        <v>479552</v>
      </c>
      <c r="G271" s="4"/>
      <c r="H271" s="4"/>
      <c r="I271" s="57" t="e">
        <f t="shared" si="77"/>
        <v>#DIV/0!</v>
      </c>
      <c r="J271" s="4"/>
      <c r="K271" s="4"/>
      <c r="L271" s="8" t="e">
        <f t="shared" si="63"/>
        <v>#DIV/0!</v>
      </c>
      <c r="M271" s="58"/>
      <c r="N271" s="58"/>
    </row>
    <row r="272" spans="1:14" s="133" customFormat="1" ht="21">
      <c r="A272" s="239"/>
      <c r="B272" s="248">
        <v>90002</v>
      </c>
      <c r="C272" s="132"/>
      <c r="D272" s="7" t="s">
        <v>273</v>
      </c>
      <c r="E272" s="8">
        <f aca="true" t="shared" si="80" ref="E272:K272">E273+E275+E276+E278+E274+E277</f>
        <v>979645.05</v>
      </c>
      <c r="F272" s="8">
        <f t="shared" si="80"/>
        <v>1607941.3599999999</v>
      </c>
      <c r="G272" s="8">
        <f t="shared" si="80"/>
        <v>1608191.3599999999</v>
      </c>
      <c r="H272" s="8">
        <f t="shared" si="80"/>
        <v>730987.59</v>
      </c>
      <c r="I272" s="57">
        <f t="shared" si="77"/>
        <v>45.454017984526416</v>
      </c>
      <c r="J272" s="8">
        <f t="shared" si="80"/>
        <v>1110367.48</v>
      </c>
      <c r="K272" s="8">
        <f t="shared" si="80"/>
        <v>1204000</v>
      </c>
      <c r="L272" s="8">
        <f t="shared" si="63"/>
        <v>108.43257044955963</v>
      </c>
      <c r="M272" s="58">
        <f>(H272/G272)*100</f>
        <v>45.454017984526416</v>
      </c>
      <c r="N272" s="58"/>
    </row>
    <row r="273" spans="1:14" ht="33.75">
      <c r="A273" s="239"/>
      <c r="B273" s="249"/>
      <c r="C273" s="61" t="s">
        <v>89</v>
      </c>
      <c r="D273" s="9" t="s">
        <v>19</v>
      </c>
      <c r="E273" s="4">
        <v>972505.54</v>
      </c>
      <c r="F273" s="4">
        <v>1100000</v>
      </c>
      <c r="G273" s="4">
        <v>1100000</v>
      </c>
      <c r="H273" s="4">
        <v>718573.51</v>
      </c>
      <c r="I273" s="57">
        <f t="shared" si="77"/>
        <v>65.32486454545455</v>
      </c>
      <c r="J273" s="4">
        <v>1100000</v>
      </c>
      <c r="K273" s="4">
        <v>1200000</v>
      </c>
      <c r="L273" s="8">
        <f t="shared" si="63"/>
        <v>109.09090909090908</v>
      </c>
      <c r="M273" s="58">
        <f>(H273/G273)*100</f>
        <v>65.32486454545455</v>
      </c>
      <c r="N273" s="58"/>
    </row>
    <row r="274" spans="1:14" ht="45">
      <c r="A274" s="239"/>
      <c r="B274" s="249"/>
      <c r="C274" s="61" t="s">
        <v>323</v>
      </c>
      <c r="D274" s="9" t="s">
        <v>333</v>
      </c>
      <c r="E274" s="4">
        <v>4119.14</v>
      </c>
      <c r="F274" s="4">
        <v>4000</v>
      </c>
      <c r="G274" s="4">
        <v>4000</v>
      </c>
      <c r="H274" s="4">
        <v>2787.39</v>
      </c>
      <c r="I274" s="57">
        <f t="shared" si="77"/>
        <v>69.68475</v>
      </c>
      <c r="J274" s="4">
        <v>3700</v>
      </c>
      <c r="K274" s="4">
        <v>4000</v>
      </c>
      <c r="L274" s="8">
        <f t="shared" si="63"/>
        <v>108.10810810810811</v>
      </c>
      <c r="M274" s="58"/>
      <c r="N274" s="58"/>
    </row>
    <row r="275" spans="1:14" ht="22.5">
      <c r="A275" s="239"/>
      <c r="B275" s="249"/>
      <c r="C275" s="61" t="s">
        <v>95</v>
      </c>
      <c r="D275" s="9" t="s">
        <v>7</v>
      </c>
      <c r="E275" s="4"/>
      <c r="F275" s="4"/>
      <c r="G275" s="4"/>
      <c r="H275" s="4"/>
      <c r="I275" s="57" t="e">
        <f t="shared" si="77"/>
        <v>#DIV/0!</v>
      </c>
      <c r="J275" s="4"/>
      <c r="K275" s="4"/>
      <c r="L275" s="8" t="e">
        <f t="shared" si="63"/>
        <v>#DIV/0!</v>
      </c>
      <c r="M275" s="58" t="e">
        <f>(H275/G275)*100</f>
        <v>#DIV/0!</v>
      </c>
      <c r="N275" s="58"/>
    </row>
    <row r="276" spans="1:14" ht="22.5">
      <c r="A276" s="239"/>
      <c r="B276" s="249"/>
      <c r="C276" s="61" t="s">
        <v>99</v>
      </c>
      <c r="D276" s="196" t="s">
        <v>39</v>
      </c>
      <c r="E276" s="4">
        <v>2993.61</v>
      </c>
      <c r="F276" s="4">
        <v>4000</v>
      </c>
      <c r="G276" s="4">
        <v>4000</v>
      </c>
      <c r="H276" s="4">
        <v>2709.21</v>
      </c>
      <c r="I276" s="57">
        <f t="shared" si="77"/>
        <v>67.73025</v>
      </c>
      <c r="J276" s="4"/>
      <c r="K276" s="4"/>
      <c r="L276" s="8" t="e">
        <f t="shared" si="63"/>
        <v>#DIV/0!</v>
      </c>
      <c r="M276" s="58">
        <f>(H276/G276)*100</f>
        <v>67.73025</v>
      </c>
      <c r="N276" s="58"/>
    </row>
    <row r="277" spans="1:14" ht="22.5">
      <c r="A277" s="239"/>
      <c r="B277" s="249"/>
      <c r="C277" s="61" t="s">
        <v>325</v>
      </c>
      <c r="D277" s="9"/>
      <c r="E277" s="4">
        <v>26.76</v>
      </c>
      <c r="F277" s="4"/>
      <c r="G277" s="4">
        <v>250</v>
      </c>
      <c r="H277" s="4">
        <v>250</v>
      </c>
      <c r="I277" s="57">
        <f t="shared" si="77"/>
        <v>100</v>
      </c>
      <c r="J277" s="4"/>
      <c r="K277" s="4"/>
      <c r="L277" s="8" t="e">
        <f t="shared" si="63"/>
        <v>#DIV/0!</v>
      </c>
      <c r="M277" s="58">
        <f>(H277/G277)*100</f>
        <v>100</v>
      </c>
      <c r="N277" s="58"/>
    </row>
    <row r="278" spans="1:14" ht="73.5">
      <c r="A278" s="239"/>
      <c r="B278" s="252"/>
      <c r="C278" s="61" t="s">
        <v>193</v>
      </c>
      <c r="D278" s="196" t="s">
        <v>145</v>
      </c>
      <c r="E278" s="4"/>
      <c r="F278" s="4">
        <v>499941.36</v>
      </c>
      <c r="G278" s="4">
        <v>499941.36</v>
      </c>
      <c r="H278" s="4">
        <v>6667.48</v>
      </c>
      <c r="I278" s="57">
        <f t="shared" si="77"/>
        <v>1.3336524107547332</v>
      </c>
      <c r="J278" s="207">
        <v>6667.48</v>
      </c>
      <c r="K278" s="4"/>
      <c r="L278" s="8">
        <f t="shared" si="63"/>
        <v>0</v>
      </c>
      <c r="M278" s="58">
        <f>(H278/G278)*100</f>
        <v>1.3336524107547332</v>
      </c>
      <c r="N278" s="58"/>
    </row>
    <row r="279" spans="1:14" ht="31.5">
      <c r="A279" s="239"/>
      <c r="B279" s="248">
        <v>90004</v>
      </c>
      <c r="C279" s="132"/>
      <c r="D279" s="7" t="s">
        <v>319</v>
      </c>
      <c r="E279" s="8">
        <f aca="true" t="shared" si="81" ref="E279:K279">E280+E281</f>
        <v>0</v>
      </c>
      <c r="F279" s="8">
        <f t="shared" si="81"/>
        <v>0</v>
      </c>
      <c r="G279" s="8">
        <f t="shared" si="81"/>
        <v>0</v>
      </c>
      <c r="H279" s="8">
        <f t="shared" si="81"/>
        <v>0</v>
      </c>
      <c r="I279" s="57" t="e">
        <f t="shared" si="77"/>
        <v>#DIV/0!</v>
      </c>
      <c r="J279" s="8">
        <f t="shared" si="81"/>
        <v>0</v>
      </c>
      <c r="K279" s="8">
        <f t="shared" si="81"/>
        <v>0</v>
      </c>
      <c r="L279" s="8" t="e">
        <f t="shared" si="63"/>
        <v>#DIV/0!</v>
      </c>
      <c r="M279" s="57"/>
      <c r="N279" s="57"/>
    </row>
    <row r="280" spans="1:14" ht="60.75" customHeight="1">
      <c r="A280" s="239"/>
      <c r="B280" s="249"/>
      <c r="C280" s="61" t="s">
        <v>112</v>
      </c>
      <c r="D280" s="196" t="s">
        <v>318</v>
      </c>
      <c r="E280" s="4"/>
      <c r="F280" s="4"/>
      <c r="G280" s="4"/>
      <c r="H280" s="4"/>
      <c r="I280" s="57" t="e">
        <f t="shared" si="77"/>
        <v>#DIV/0!</v>
      </c>
      <c r="J280" s="4"/>
      <c r="K280" s="4"/>
      <c r="L280" s="8" t="e">
        <f t="shared" si="63"/>
        <v>#DIV/0!</v>
      </c>
      <c r="M280" s="58"/>
      <c r="N280" s="58"/>
    </row>
    <row r="281" spans="1:14" ht="52.5" customHeight="1">
      <c r="A281" s="239"/>
      <c r="B281" s="250"/>
      <c r="C281" s="61" t="s">
        <v>291</v>
      </c>
      <c r="D281" s="196" t="s">
        <v>292</v>
      </c>
      <c r="E281" s="4"/>
      <c r="F281" s="4"/>
      <c r="G281" s="4"/>
      <c r="H281" s="4"/>
      <c r="I281" s="57" t="e">
        <f t="shared" si="77"/>
        <v>#DIV/0!</v>
      </c>
      <c r="J281" s="4"/>
      <c r="K281" s="4"/>
      <c r="L281" s="8" t="e">
        <f t="shared" si="63"/>
        <v>#DIV/0!</v>
      </c>
      <c r="M281" s="58"/>
      <c r="N281" s="58"/>
    </row>
    <row r="282" spans="1:14" s="70" customFormat="1" ht="21">
      <c r="A282" s="239"/>
      <c r="B282" s="248">
        <v>90015</v>
      </c>
      <c r="C282" s="61"/>
      <c r="D282" s="7" t="s">
        <v>300</v>
      </c>
      <c r="E282" s="8">
        <f aca="true" t="shared" si="82" ref="E282:K282">E283+E284+E285</f>
        <v>0</v>
      </c>
      <c r="F282" s="8">
        <f t="shared" si="82"/>
        <v>114354</v>
      </c>
      <c r="G282" s="8">
        <f t="shared" si="82"/>
        <v>0</v>
      </c>
      <c r="H282" s="8">
        <f t="shared" si="82"/>
        <v>0</v>
      </c>
      <c r="I282" s="57" t="e">
        <f t="shared" si="77"/>
        <v>#DIV/0!</v>
      </c>
      <c r="J282" s="8">
        <f t="shared" si="82"/>
        <v>0</v>
      </c>
      <c r="K282" s="8">
        <f t="shared" si="82"/>
        <v>0</v>
      </c>
      <c r="L282" s="8" t="e">
        <f t="shared" si="63"/>
        <v>#DIV/0!</v>
      </c>
      <c r="M282" s="57"/>
      <c r="N282" s="57"/>
    </row>
    <row r="283" spans="1:14" s="70" customFormat="1" ht="22.5">
      <c r="A283" s="239"/>
      <c r="B283" s="249"/>
      <c r="C283" s="61" t="s">
        <v>90</v>
      </c>
      <c r="D283" s="9" t="s">
        <v>7</v>
      </c>
      <c r="E283" s="4"/>
      <c r="F283" s="4"/>
      <c r="G283" s="4"/>
      <c r="H283" s="4"/>
      <c r="I283" s="57" t="e">
        <f t="shared" si="77"/>
        <v>#DIV/0!</v>
      </c>
      <c r="J283" s="4"/>
      <c r="K283" s="4"/>
      <c r="L283" s="8" t="e">
        <f t="shared" si="63"/>
        <v>#DIV/0!</v>
      </c>
      <c r="M283" s="58"/>
      <c r="N283" s="58"/>
    </row>
    <row r="284" spans="1:14" s="70" customFormat="1" ht="73.5">
      <c r="A284" s="239"/>
      <c r="B284" s="245"/>
      <c r="C284" s="61" t="s">
        <v>193</v>
      </c>
      <c r="D284" s="196" t="s">
        <v>145</v>
      </c>
      <c r="E284" s="4"/>
      <c r="F284" s="4">
        <v>42500</v>
      </c>
      <c r="G284" s="4"/>
      <c r="H284" s="4"/>
      <c r="I284" s="57" t="e">
        <f t="shared" si="77"/>
        <v>#DIV/0!</v>
      </c>
      <c r="J284" s="4"/>
      <c r="K284" s="4"/>
      <c r="L284" s="8" t="e">
        <f t="shared" si="63"/>
        <v>#DIV/0!</v>
      </c>
      <c r="M284" s="58"/>
      <c r="N284" s="58"/>
    </row>
    <row r="285" spans="1:14" s="70" customFormat="1" ht="78.75">
      <c r="A285" s="239"/>
      <c r="B285" s="198"/>
      <c r="C285" s="61" t="s">
        <v>291</v>
      </c>
      <c r="D285" s="9" t="s">
        <v>292</v>
      </c>
      <c r="E285" s="4"/>
      <c r="F285" s="4">
        <v>71854</v>
      </c>
      <c r="G285" s="4"/>
      <c r="H285" s="4"/>
      <c r="I285" s="57" t="e">
        <f t="shared" si="77"/>
        <v>#DIV/0!</v>
      </c>
      <c r="J285" s="4"/>
      <c r="K285" s="4"/>
      <c r="L285" s="8" t="e">
        <f t="shared" si="63"/>
        <v>#DIV/0!</v>
      </c>
      <c r="M285" s="58"/>
      <c r="N285" s="58"/>
    </row>
    <row r="286" spans="1:14" s="54" customFormat="1" ht="64.5" customHeight="1">
      <c r="A286" s="239"/>
      <c r="B286" s="248">
        <v>90019</v>
      </c>
      <c r="C286" s="5"/>
      <c r="D286" s="7" t="s">
        <v>196</v>
      </c>
      <c r="E286" s="8">
        <f aca="true" t="shared" si="83" ref="E286:K286">E287+E289</f>
        <v>53930.57</v>
      </c>
      <c r="F286" s="8">
        <f t="shared" si="83"/>
        <v>15000</v>
      </c>
      <c r="G286" s="8">
        <f>G287+G289+G288</f>
        <v>35080</v>
      </c>
      <c r="H286" s="8">
        <f>H287+H289+H288</f>
        <v>14360.49</v>
      </c>
      <c r="I286" s="57">
        <f t="shared" si="77"/>
        <v>40.936402508551886</v>
      </c>
      <c r="J286" s="8">
        <f t="shared" si="83"/>
        <v>17000</v>
      </c>
      <c r="K286" s="8">
        <f t="shared" si="83"/>
        <v>20000</v>
      </c>
      <c r="L286" s="8">
        <f t="shared" si="63"/>
        <v>117.64705882352942</v>
      </c>
      <c r="M286" s="57">
        <f>(H286/G286)*100</f>
        <v>40.936402508551886</v>
      </c>
      <c r="N286" s="57">
        <f>(H286/E286)*100</f>
        <v>26.6277363654788</v>
      </c>
    </row>
    <row r="287" spans="1:14" s="54" customFormat="1" ht="22.5">
      <c r="A287" s="239"/>
      <c r="B287" s="249"/>
      <c r="C287" s="6" t="s">
        <v>95</v>
      </c>
      <c r="D287" s="9" t="s">
        <v>20</v>
      </c>
      <c r="E287" s="4">
        <v>12924.9</v>
      </c>
      <c r="F287" s="4">
        <v>15000</v>
      </c>
      <c r="G287" s="4">
        <v>15000</v>
      </c>
      <c r="H287" s="4">
        <v>14360.49</v>
      </c>
      <c r="I287" s="57">
        <f t="shared" si="77"/>
        <v>95.7366</v>
      </c>
      <c r="J287" s="4">
        <v>17000</v>
      </c>
      <c r="K287" s="4">
        <v>20000</v>
      </c>
      <c r="L287" s="8">
        <f t="shared" si="63"/>
        <v>117.64705882352942</v>
      </c>
      <c r="M287" s="58">
        <f>(H287/G287)*100</f>
        <v>95.7366</v>
      </c>
      <c r="N287" s="58">
        <f>(H287/E287)*100</f>
        <v>111.10716523918947</v>
      </c>
    </row>
    <row r="288" spans="1:14" s="54" customFormat="1" ht="22.5">
      <c r="A288" s="239"/>
      <c r="B288" s="202"/>
      <c r="C288" s="6" t="s">
        <v>248</v>
      </c>
      <c r="D288" s="9"/>
      <c r="E288" s="4"/>
      <c r="F288" s="4"/>
      <c r="G288" s="4">
        <v>20080</v>
      </c>
      <c r="H288" s="4"/>
      <c r="I288" s="57">
        <f t="shared" si="77"/>
        <v>0</v>
      </c>
      <c r="J288" s="4"/>
      <c r="K288" s="4"/>
      <c r="L288" s="8"/>
      <c r="M288" s="58"/>
      <c r="N288" s="58"/>
    </row>
    <row r="289" spans="1:14" s="54" customFormat="1" ht="67.5" customHeight="1">
      <c r="A289" s="239"/>
      <c r="B289" s="202"/>
      <c r="C289" s="6" t="s">
        <v>112</v>
      </c>
      <c r="D289" s="9" t="s">
        <v>318</v>
      </c>
      <c r="E289" s="4">
        <v>41005.67</v>
      </c>
      <c r="F289" s="4"/>
      <c r="G289" s="4"/>
      <c r="H289" s="4"/>
      <c r="I289" s="57" t="e">
        <f t="shared" si="77"/>
        <v>#DIV/0!</v>
      </c>
      <c r="J289" s="4"/>
      <c r="K289" s="4"/>
      <c r="L289" s="8" t="e">
        <f t="shared" si="63"/>
        <v>#DIV/0!</v>
      </c>
      <c r="M289" s="58"/>
      <c r="N289" s="58"/>
    </row>
    <row r="290" spans="1:14" s="54" customFormat="1" ht="42" customHeight="1">
      <c r="A290" s="239"/>
      <c r="B290" s="202">
        <v>90020</v>
      </c>
      <c r="C290" s="5"/>
      <c r="D290" s="7" t="s">
        <v>322</v>
      </c>
      <c r="E290" s="8">
        <f aca="true" t="shared" si="84" ref="E290:K290">E291</f>
        <v>79.79</v>
      </c>
      <c r="F290" s="8">
        <f t="shared" si="84"/>
        <v>100</v>
      </c>
      <c r="G290" s="8">
        <f t="shared" si="84"/>
        <v>100</v>
      </c>
      <c r="H290" s="8">
        <f t="shared" si="84"/>
        <v>0.93</v>
      </c>
      <c r="I290" s="57">
        <f t="shared" si="77"/>
        <v>0.93</v>
      </c>
      <c r="J290" s="8">
        <f t="shared" si="84"/>
        <v>0</v>
      </c>
      <c r="K290" s="8">
        <f t="shared" si="84"/>
        <v>0</v>
      </c>
      <c r="L290" s="8" t="e">
        <f t="shared" si="63"/>
        <v>#DIV/0!</v>
      </c>
      <c r="M290" s="57">
        <f>(H290/G290)*100</f>
        <v>0.93</v>
      </c>
      <c r="N290" s="57"/>
    </row>
    <row r="291" spans="1:14" s="54" customFormat="1" ht="22.5">
      <c r="A291" s="239"/>
      <c r="B291" s="202"/>
      <c r="C291" s="6" t="s">
        <v>320</v>
      </c>
      <c r="D291" s="9" t="s">
        <v>321</v>
      </c>
      <c r="E291" s="4">
        <v>79.79</v>
      </c>
      <c r="F291" s="4">
        <v>100</v>
      </c>
      <c r="G291" s="4">
        <v>100</v>
      </c>
      <c r="H291" s="4">
        <v>0.93</v>
      </c>
      <c r="I291" s="57">
        <f t="shared" si="77"/>
        <v>0.93</v>
      </c>
      <c r="J291" s="4"/>
      <c r="K291" s="4"/>
      <c r="L291" s="8" t="e">
        <f t="shared" si="63"/>
        <v>#DIV/0!</v>
      </c>
      <c r="M291" s="58">
        <f>(H291/G291)*100</f>
        <v>0.93</v>
      </c>
      <c r="N291" s="58"/>
    </row>
    <row r="292" spans="1:14" s="10" customFormat="1" ht="12.75">
      <c r="A292" s="239"/>
      <c r="B292" s="243">
        <v>90095</v>
      </c>
      <c r="C292" s="5"/>
      <c r="D292" s="7" t="s">
        <v>8</v>
      </c>
      <c r="E292" s="8">
        <f aca="true" t="shared" si="85" ref="E292:K292">E294+E295</f>
        <v>37053.18</v>
      </c>
      <c r="F292" s="8">
        <f t="shared" si="85"/>
        <v>283887</v>
      </c>
      <c r="G292" s="8">
        <f>G294+G295+G293</f>
        <v>36216.37</v>
      </c>
      <c r="H292" s="8">
        <f>H294+H295+H293</f>
        <v>32437.77</v>
      </c>
      <c r="I292" s="57">
        <f t="shared" si="77"/>
        <v>89.56659654184006</v>
      </c>
      <c r="J292" s="8">
        <f t="shared" si="85"/>
        <v>30000</v>
      </c>
      <c r="K292" s="8">
        <f t="shared" si="85"/>
        <v>30000</v>
      </c>
      <c r="L292" s="8">
        <f aca="true" t="shared" si="86" ref="L292:L323">K292/J292*100</f>
        <v>100</v>
      </c>
      <c r="M292" s="57">
        <f>(H292/G292)*100</f>
        <v>89.56659654184006</v>
      </c>
      <c r="N292" s="57">
        <f>(H292/E292)*100</f>
        <v>87.54382214967784</v>
      </c>
    </row>
    <row r="293" spans="1:14" s="10" customFormat="1" ht="21">
      <c r="A293" s="239"/>
      <c r="B293" s="247"/>
      <c r="C293" s="197" t="s">
        <v>95</v>
      </c>
      <c r="D293" s="7"/>
      <c r="E293" s="8"/>
      <c r="F293" s="8"/>
      <c r="G293" s="4">
        <v>216.37</v>
      </c>
      <c r="H293" s="4">
        <v>4676.52</v>
      </c>
      <c r="I293" s="57">
        <f t="shared" si="77"/>
        <v>2161.353237509821</v>
      </c>
      <c r="J293" s="8">
        <v>5000</v>
      </c>
      <c r="K293" s="8">
        <v>5000</v>
      </c>
      <c r="L293" s="8"/>
      <c r="M293" s="57"/>
      <c r="N293" s="57"/>
    </row>
    <row r="294" spans="1:14" ht="22.5">
      <c r="A294" s="239"/>
      <c r="B294" s="247"/>
      <c r="C294" s="6" t="s">
        <v>96</v>
      </c>
      <c r="D294" s="9" t="s">
        <v>25</v>
      </c>
      <c r="E294" s="4">
        <v>37053.18</v>
      </c>
      <c r="F294" s="4">
        <v>36000</v>
      </c>
      <c r="G294" s="4">
        <v>36000</v>
      </c>
      <c r="H294" s="4">
        <v>27761.25</v>
      </c>
      <c r="I294" s="57">
        <f t="shared" si="77"/>
        <v>77.11458333333333</v>
      </c>
      <c r="J294" s="4">
        <v>30000</v>
      </c>
      <c r="K294" s="4">
        <v>30000</v>
      </c>
      <c r="L294" s="8">
        <f t="shared" si="86"/>
        <v>100</v>
      </c>
      <c r="M294" s="58">
        <f>(H294/G294)*100</f>
        <v>77.11458333333333</v>
      </c>
      <c r="N294" s="58">
        <f>(H294/E294)*100</f>
        <v>74.92271918361662</v>
      </c>
    </row>
    <row r="295" spans="1:14" ht="73.5" customHeight="1">
      <c r="A295" s="242"/>
      <c r="B295" s="245"/>
      <c r="C295" s="6" t="s">
        <v>193</v>
      </c>
      <c r="D295" s="196" t="s">
        <v>145</v>
      </c>
      <c r="E295" s="4"/>
      <c r="F295" s="4">
        <v>247887</v>
      </c>
      <c r="G295" s="4"/>
      <c r="H295" s="4"/>
      <c r="I295" s="57" t="e">
        <f t="shared" si="77"/>
        <v>#DIV/0!</v>
      </c>
      <c r="J295" s="4"/>
      <c r="K295" s="4"/>
      <c r="L295" s="8" t="e">
        <f t="shared" si="86"/>
        <v>#DIV/0!</v>
      </c>
      <c r="M295" s="58" t="e">
        <f>(H295/G295)*100</f>
        <v>#DIV/0!</v>
      </c>
      <c r="N295" s="58"/>
    </row>
    <row r="296" spans="1:14" ht="28.5" customHeight="1">
      <c r="A296" s="238">
        <v>921</v>
      </c>
      <c r="B296" s="197"/>
      <c r="C296" s="6"/>
      <c r="D296" s="7" t="s">
        <v>79</v>
      </c>
      <c r="E296" s="8">
        <f aca="true" t="shared" si="87" ref="E296:K296">E297+E301+E303</f>
        <v>13216</v>
      </c>
      <c r="F296" s="8">
        <f t="shared" si="87"/>
        <v>0</v>
      </c>
      <c r="G296" s="8">
        <f t="shared" si="87"/>
        <v>13216</v>
      </c>
      <c r="H296" s="8">
        <f t="shared" si="87"/>
        <v>11108</v>
      </c>
      <c r="I296" s="57">
        <f t="shared" si="77"/>
        <v>84.0496368038741</v>
      </c>
      <c r="J296" s="8">
        <f t="shared" si="87"/>
        <v>13216</v>
      </c>
      <c r="K296" s="8">
        <f t="shared" si="87"/>
        <v>14500</v>
      </c>
      <c r="L296" s="8">
        <f t="shared" si="86"/>
        <v>109.71549636803874</v>
      </c>
      <c r="M296" s="57">
        <f>(H296/G296)*100</f>
        <v>84.0496368038741</v>
      </c>
      <c r="N296" s="57">
        <f>(H296/E296)*100</f>
        <v>84.0496368038741</v>
      </c>
    </row>
    <row r="297" spans="1:14" ht="24.75" customHeight="1">
      <c r="A297" s="239"/>
      <c r="B297" s="243">
        <v>92109</v>
      </c>
      <c r="C297" s="6"/>
      <c r="D297" s="7" t="s">
        <v>80</v>
      </c>
      <c r="E297" s="8">
        <f aca="true" t="shared" si="88" ref="E297:K297">E299+E300+E298</f>
        <v>9000</v>
      </c>
      <c r="F297" s="8">
        <f t="shared" si="88"/>
        <v>0</v>
      </c>
      <c r="G297" s="8">
        <f t="shared" si="88"/>
        <v>9000</v>
      </c>
      <c r="H297" s="8">
        <f t="shared" si="88"/>
        <v>9000</v>
      </c>
      <c r="I297" s="57">
        <f t="shared" si="77"/>
        <v>100</v>
      </c>
      <c r="J297" s="8">
        <f t="shared" si="88"/>
        <v>9000</v>
      </c>
      <c r="K297" s="8">
        <f t="shared" si="88"/>
        <v>10000</v>
      </c>
      <c r="L297" s="8">
        <f t="shared" si="86"/>
        <v>111.11111111111111</v>
      </c>
      <c r="M297" s="57">
        <f>(H297/G297)*100</f>
        <v>100</v>
      </c>
      <c r="N297" s="57">
        <f>(H297/E297)*100</f>
        <v>100</v>
      </c>
    </row>
    <row r="298" spans="1:14" ht="61.5" customHeight="1">
      <c r="A298" s="239"/>
      <c r="B298" s="247"/>
      <c r="C298" s="6" t="s">
        <v>112</v>
      </c>
      <c r="D298" s="196" t="s">
        <v>318</v>
      </c>
      <c r="E298" s="4"/>
      <c r="F298" s="4"/>
      <c r="G298" s="4">
        <v>0</v>
      </c>
      <c r="H298" s="4">
        <v>0</v>
      </c>
      <c r="I298" s="57" t="e">
        <f t="shared" si="77"/>
        <v>#DIV/0!</v>
      </c>
      <c r="J298" s="4"/>
      <c r="K298" s="4"/>
      <c r="L298" s="8" t="e">
        <f t="shared" si="86"/>
        <v>#DIV/0!</v>
      </c>
      <c r="M298" s="58"/>
      <c r="N298" s="58"/>
    </row>
    <row r="299" spans="1:14" ht="42.75" customHeight="1">
      <c r="A299" s="239"/>
      <c r="B299" s="247"/>
      <c r="C299" s="6" t="s">
        <v>122</v>
      </c>
      <c r="D299" s="196" t="s">
        <v>135</v>
      </c>
      <c r="E299" s="4">
        <v>9000</v>
      </c>
      <c r="F299" s="4"/>
      <c r="G299" s="4">
        <v>9000</v>
      </c>
      <c r="H299" s="4">
        <v>9000</v>
      </c>
      <c r="I299" s="57">
        <f t="shared" si="77"/>
        <v>100</v>
      </c>
      <c r="J299" s="4">
        <v>9000</v>
      </c>
      <c r="K299" s="4">
        <v>10000</v>
      </c>
      <c r="L299" s="8">
        <f t="shared" si="86"/>
        <v>111.11111111111111</v>
      </c>
      <c r="M299" s="58">
        <f>(H299/G299)*100</f>
        <v>100</v>
      </c>
      <c r="N299" s="58">
        <f>(H299/E299)*100</f>
        <v>100</v>
      </c>
    </row>
    <row r="300" spans="1:14" ht="69" customHeight="1">
      <c r="A300" s="241"/>
      <c r="B300" s="245"/>
      <c r="C300" s="6" t="s">
        <v>291</v>
      </c>
      <c r="D300" s="9" t="s">
        <v>292</v>
      </c>
      <c r="E300" s="4"/>
      <c r="F300" s="4"/>
      <c r="G300" s="4"/>
      <c r="H300" s="4"/>
      <c r="I300" s="57" t="e">
        <f t="shared" si="77"/>
        <v>#DIV/0!</v>
      </c>
      <c r="J300" s="4"/>
      <c r="K300" s="4"/>
      <c r="L300" s="8" t="e">
        <f t="shared" si="86"/>
        <v>#DIV/0!</v>
      </c>
      <c r="M300" s="58"/>
      <c r="N300" s="58"/>
    </row>
    <row r="301" spans="1:14" ht="9.75" customHeight="1">
      <c r="A301" s="241"/>
      <c r="B301" s="197" t="s">
        <v>266</v>
      </c>
      <c r="C301" s="6"/>
      <c r="D301" s="7" t="s">
        <v>267</v>
      </c>
      <c r="E301" s="8">
        <f aca="true" t="shared" si="89" ref="E301:K301">E302</f>
        <v>4216</v>
      </c>
      <c r="F301" s="8">
        <f t="shared" si="89"/>
        <v>0</v>
      </c>
      <c r="G301" s="8">
        <f t="shared" si="89"/>
        <v>4216</v>
      </c>
      <c r="H301" s="8">
        <f t="shared" si="89"/>
        <v>2108</v>
      </c>
      <c r="I301" s="57">
        <f t="shared" si="77"/>
        <v>50</v>
      </c>
      <c r="J301" s="8">
        <f t="shared" si="89"/>
        <v>4216</v>
      </c>
      <c r="K301" s="8">
        <f t="shared" si="89"/>
        <v>4500</v>
      </c>
      <c r="L301" s="8">
        <f t="shared" si="86"/>
        <v>106.73624288425047</v>
      </c>
      <c r="M301" s="57"/>
      <c r="N301" s="57"/>
    </row>
    <row r="302" spans="1:14" ht="57.75" customHeight="1">
      <c r="A302" s="241"/>
      <c r="B302" s="197"/>
      <c r="C302" s="6" t="s">
        <v>122</v>
      </c>
      <c r="D302" s="9" t="s">
        <v>135</v>
      </c>
      <c r="E302" s="4">
        <v>4216</v>
      </c>
      <c r="F302" s="4"/>
      <c r="G302" s="4">
        <v>4216</v>
      </c>
      <c r="H302" s="4">
        <v>2108</v>
      </c>
      <c r="I302" s="57">
        <f t="shared" si="77"/>
        <v>50</v>
      </c>
      <c r="J302" s="4">
        <v>4216</v>
      </c>
      <c r="K302" s="4">
        <v>4500</v>
      </c>
      <c r="L302" s="8">
        <f t="shared" si="86"/>
        <v>106.73624288425047</v>
      </c>
      <c r="M302" s="58"/>
      <c r="N302" s="58"/>
    </row>
    <row r="303" spans="1:14" ht="17.25" customHeight="1">
      <c r="A303" s="241"/>
      <c r="B303" s="197" t="s">
        <v>294</v>
      </c>
      <c r="C303" s="5"/>
      <c r="D303" s="7" t="s">
        <v>8</v>
      </c>
      <c r="E303" s="8">
        <f aca="true" t="shared" si="90" ref="E303:K303">E304</f>
        <v>0</v>
      </c>
      <c r="F303" s="8">
        <f t="shared" si="90"/>
        <v>0</v>
      </c>
      <c r="G303" s="8">
        <f t="shared" si="90"/>
        <v>0</v>
      </c>
      <c r="H303" s="8">
        <f t="shared" si="90"/>
        <v>0</v>
      </c>
      <c r="I303" s="57" t="e">
        <f t="shared" si="77"/>
        <v>#DIV/0!</v>
      </c>
      <c r="J303" s="8">
        <f t="shared" si="90"/>
        <v>0</v>
      </c>
      <c r="K303" s="8">
        <f t="shared" si="90"/>
        <v>0</v>
      </c>
      <c r="L303" s="8" t="e">
        <f t="shared" si="86"/>
        <v>#DIV/0!</v>
      </c>
      <c r="M303" s="57"/>
      <c r="N303" s="57"/>
    </row>
    <row r="304" spans="1:14" ht="12" customHeight="1">
      <c r="A304" s="242"/>
      <c r="B304" s="197"/>
      <c r="C304" s="6" t="s">
        <v>90</v>
      </c>
      <c r="D304" s="9" t="s">
        <v>7</v>
      </c>
      <c r="E304" s="4"/>
      <c r="F304" s="4"/>
      <c r="G304" s="4"/>
      <c r="H304" s="4"/>
      <c r="I304" s="57" t="e">
        <f t="shared" si="77"/>
        <v>#DIV/0!</v>
      </c>
      <c r="J304" s="4"/>
      <c r="K304" s="4"/>
      <c r="L304" s="8" t="e">
        <f t="shared" si="86"/>
        <v>#DIV/0!</v>
      </c>
      <c r="M304" s="58"/>
      <c r="N304" s="58"/>
    </row>
    <row r="305" spans="1:14" s="10" customFormat="1" ht="22.5" customHeight="1">
      <c r="A305" s="238" t="s">
        <v>147</v>
      </c>
      <c r="B305" s="197"/>
      <c r="C305" s="5"/>
      <c r="D305" s="7" t="s">
        <v>148</v>
      </c>
      <c r="E305" s="8">
        <f aca="true" t="shared" si="91" ref="E305:K305">E316+E306</f>
        <v>609512.94</v>
      </c>
      <c r="F305" s="8">
        <f t="shared" si="91"/>
        <v>728128</v>
      </c>
      <c r="G305" s="8">
        <f t="shared" si="91"/>
        <v>737858.73</v>
      </c>
      <c r="H305" s="8">
        <f t="shared" si="91"/>
        <v>409067.31999999995</v>
      </c>
      <c r="I305" s="57">
        <f t="shared" si="77"/>
        <v>55.439788589341475</v>
      </c>
      <c r="J305" s="8">
        <f t="shared" si="91"/>
        <v>236150</v>
      </c>
      <c r="K305" s="8">
        <f t="shared" si="91"/>
        <v>252500</v>
      </c>
      <c r="L305" s="8">
        <f t="shared" si="86"/>
        <v>106.92356553038323</v>
      </c>
      <c r="M305" s="57">
        <f aca="true" t="shared" si="92" ref="M305:M313">(H305/G305)*100</f>
        <v>55.439788589341475</v>
      </c>
      <c r="N305" s="57">
        <f>(H305/E305)*100</f>
        <v>67.11380401538317</v>
      </c>
    </row>
    <row r="306" spans="1:14" s="10" customFormat="1" ht="12.75">
      <c r="A306" s="239"/>
      <c r="B306" s="243" t="s">
        <v>153</v>
      </c>
      <c r="C306" s="5"/>
      <c r="D306" s="7" t="s">
        <v>171</v>
      </c>
      <c r="E306" s="8">
        <f aca="true" t="shared" si="93" ref="E306:K306">E309+E314+E307+E308+E312+E313+E315+E311</f>
        <v>291713.6699999999</v>
      </c>
      <c r="F306" s="8">
        <f t="shared" si="93"/>
        <v>284428</v>
      </c>
      <c r="G306" s="8">
        <f>G309+G314+G307+G308+G312+G313+G315+G311+G310</f>
        <v>294158.73</v>
      </c>
      <c r="H306" s="8">
        <f>H309+H314+H307+H308+H312+H313+H315+H311+H310</f>
        <v>187668.99999999997</v>
      </c>
      <c r="I306" s="57">
        <f t="shared" si="77"/>
        <v>63.79854849114965</v>
      </c>
      <c r="J306" s="8">
        <f t="shared" si="93"/>
        <v>236150</v>
      </c>
      <c r="K306" s="8">
        <f t="shared" si="93"/>
        <v>252500</v>
      </c>
      <c r="L306" s="8">
        <f t="shared" si="86"/>
        <v>106.92356553038323</v>
      </c>
      <c r="M306" s="57">
        <f t="shared" si="92"/>
        <v>63.79854849114965</v>
      </c>
      <c r="N306" s="57">
        <f>(H306/E306)*100</f>
        <v>64.33328955753086</v>
      </c>
    </row>
    <row r="307" spans="1:14" s="10" customFormat="1" ht="87.75" customHeight="1">
      <c r="A307" s="239"/>
      <c r="B307" s="244"/>
      <c r="C307" s="6" t="s">
        <v>91</v>
      </c>
      <c r="D307" s="196" t="s">
        <v>197</v>
      </c>
      <c r="E307" s="4">
        <v>13849.1</v>
      </c>
      <c r="F307" s="4">
        <v>63500</v>
      </c>
      <c r="G307" s="4">
        <v>63500</v>
      </c>
      <c r="H307" s="4">
        <v>10048.04</v>
      </c>
      <c r="I307" s="57">
        <f t="shared" si="77"/>
        <v>15.82368503937008</v>
      </c>
      <c r="J307" s="4"/>
      <c r="K307" s="4"/>
      <c r="L307" s="8" t="e">
        <f t="shared" si="86"/>
        <v>#DIV/0!</v>
      </c>
      <c r="M307" s="58">
        <f t="shared" si="92"/>
        <v>15.82368503937008</v>
      </c>
      <c r="N307" s="58">
        <f>(H307/E307)*100</f>
        <v>72.55373995422086</v>
      </c>
    </row>
    <row r="308" spans="1:14" s="10" customFormat="1" ht="22.5">
      <c r="A308" s="239"/>
      <c r="B308" s="244"/>
      <c r="C308" s="6" t="s">
        <v>96</v>
      </c>
      <c r="D308" s="9" t="s">
        <v>25</v>
      </c>
      <c r="E308" s="4">
        <v>272439.92</v>
      </c>
      <c r="F308" s="4">
        <v>219228</v>
      </c>
      <c r="G308" s="4">
        <v>221450.21</v>
      </c>
      <c r="H308" s="4">
        <v>171200.53</v>
      </c>
      <c r="I308" s="57">
        <f t="shared" si="77"/>
        <v>77.30881357032807</v>
      </c>
      <c r="J308" s="4">
        <v>230000</v>
      </c>
      <c r="K308" s="4">
        <v>250000</v>
      </c>
      <c r="L308" s="8">
        <f t="shared" si="86"/>
        <v>108.69565217391303</v>
      </c>
      <c r="M308" s="58">
        <f t="shared" si="92"/>
        <v>77.30881357032807</v>
      </c>
      <c r="N308" s="58">
        <f>(H308/E308)*100</f>
        <v>62.83973728960132</v>
      </c>
    </row>
    <row r="309" spans="1:14" s="29" customFormat="1" ht="22.5">
      <c r="A309" s="239"/>
      <c r="B309" s="244"/>
      <c r="C309" s="6" t="s">
        <v>93</v>
      </c>
      <c r="D309" s="9" t="s">
        <v>16</v>
      </c>
      <c r="E309" s="4">
        <v>269.44</v>
      </c>
      <c r="F309" s="4">
        <v>200</v>
      </c>
      <c r="G309" s="4">
        <v>200</v>
      </c>
      <c r="H309" s="4">
        <v>101.54</v>
      </c>
      <c r="I309" s="57">
        <f t="shared" si="77"/>
        <v>50.77</v>
      </c>
      <c r="J309" s="4">
        <v>200</v>
      </c>
      <c r="K309" s="4">
        <v>200</v>
      </c>
      <c r="L309" s="8">
        <f t="shared" si="86"/>
        <v>100</v>
      </c>
      <c r="M309" s="58">
        <f t="shared" si="92"/>
        <v>50.77</v>
      </c>
      <c r="N309" s="58">
        <f>(H309/E309)*100</f>
        <v>37.68557007125891</v>
      </c>
    </row>
    <row r="310" spans="1:14" s="29" customFormat="1" ht="22.5">
      <c r="A310" s="239"/>
      <c r="B310" s="244"/>
      <c r="C310" s="6" t="s">
        <v>325</v>
      </c>
      <c r="D310" s="9"/>
      <c r="E310" s="4"/>
      <c r="F310" s="4"/>
      <c r="G310" s="4">
        <v>508.52</v>
      </c>
      <c r="H310" s="4">
        <v>508.52</v>
      </c>
      <c r="I310" s="57">
        <f t="shared" si="77"/>
        <v>100</v>
      </c>
      <c r="J310" s="4">
        <v>600</v>
      </c>
      <c r="K310" s="4">
        <v>600</v>
      </c>
      <c r="L310" s="8"/>
      <c r="M310" s="58">
        <f t="shared" si="92"/>
        <v>100</v>
      </c>
      <c r="N310" s="58"/>
    </row>
    <row r="311" spans="1:14" s="29" customFormat="1" ht="33.75">
      <c r="A311" s="239"/>
      <c r="B311" s="244"/>
      <c r="C311" s="6" t="s">
        <v>353</v>
      </c>
      <c r="D311" s="9" t="s">
        <v>425</v>
      </c>
      <c r="E311" s="4">
        <v>4180.29</v>
      </c>
      <c r="F311" s="4">
        <v>1000</v>
      </c>
      <c r="G311" s="4">
        <v>8000</v>
      </c>
      <c r="H311" s="4">
        <v>5655.74</v>
      </c>
      <c r="I311" s="57">
        <f t="shared" si="77"/>
        <v>70.69675</v>
      </c>
      <c r="J311" s="4">
        <v>5700</v>
      </c>
      <c r="K311" s="4">
        <v>2000</v>
      </c>
      <c r="L311" s="8">
        <f t="shared" si="86"/>
        <v>35.08771929824561</v>
      </c>
      <c r="M311" s="58">
        <f t="shared" si="92"/>
        <v>70.69675</v>
      </c>
      <c r="N311" s="58">
        <f>(H311/E311)*100</f>
        <v>135.29539816615593</v>
      </c>
    </row>
    <row r="312" spans="1:14" s="29" customFormat="1" ht="14.25" customHeight="1">
      <c r="A312" s="239"/>
      <c r="B312" s="244"/>
      <c r="C312" s="6" t="s">
        <v>90</v>
      </c>
      <c r="D312" s="9" t="s">
        <v>7</v>
      </c>
      <c r="E312" s="4">
        <v>974.92</v>
      </c>
      <c r="F312" s="4">
        <v>500</v>
      </c>
      <c r="G312" s="4">
        <v>500</v>
      </c>
      <c r="H312" s="4">
        <v>154.63</v>
      </c>
      <c r="I312" s="57">
        <f t="shared" si="77"/>
        <v>30.926</v>
      </c>
      <c r="J312" s="4">
        <v>250</v>
      </c>
      <c r="K312" s="4">
        <v>300</v>
      </c>
      <c r="L312" s="8">
        <f t="shared" si="86"/>
        <v>120</v>
      </c>
      <c r="M312" s="58">
        <f t="shared" si="92"/>
        <v>30.926</v>
      </c>
      <c r="N312" s="58">
        <f>(H312/E312)*100</f>
        <v>15.86078857752431</v>
      </c>
    </row>
    <row r="313" spans="1:14" s="29" customFormat="1" ht="73.5" customHeight="1">
      <c r="A313" s="239"/>
      <c r="B313" s="244"/>
      <c r="C313" s="61" t="s">
        <v>112</v>
      </c>
      <c r="D313" s="9" t="s">
        <v>318</v>
      </c>
      <c r="E313" s="4"/>
      <c r="F313" s="4"/>
      <c r="G313" s="4"/>
      <c r="H313" s="4"/>
      <c r="I313" s="57" t="e">
        <f t="shared" si="77"/>
        <v>#DIV/0!</v>
      </c>
      <c r="J313" s="4"/>
      <c r="K313" s="4"/>
      <c r="L313" s="8" t="e">
        <f t="shared" si="86"/>
        <v>#DIV/0!</v>
      </c>
      <c r="M313" s="58" t="e">
        <f t="shared" si="92"/>
        <v>#DIV/0!</v>
      </c>
      <c r="N313" s="58"/>
    </row>
    <row r="314" spans="1:14" s="29" customFormat="1" ht="77.25" customHeight="1">
      <c r="A314" s="239"/>
      <c r="B314" s="244"/>
      <c r="C314" s="61" t="s">
        <v>193</v>
      </c>
      <c r="D314" s="9" t="s">
        <v>145</v>
      </c>
      <c r="E314" s="4"/>
      <c r="F314" s="4"/>
      <c r="G314" s="4"/>
      <c r="H314" s="4"/>
      <c r="I314" s="57" t="e">
        <f t="shared" si="77"/>
        <v>#DIV/0!</v>
      </c>
      <c r="J314" s="4"/>
      <c r="K314" s="4"/>
      <c r="L314" s="8" t="e">
        <f t="shared" si="86"/>
        <v>#DIV/0!</v>
      </c>
      <c r="M314" s="58"/>
      <c r="N314" s="57" t="e">
        <f>(H314/E314)*100</f>
        <v>#DIV/0!</v>
      </c>
    </row>
    <row r="315" spans="1:14" s="29" customFormat="1" ht="61.5" customHeight="1">
      <c r="A315" s="239"/>
      <c r="B315" s="245"/>
      <c r="C315" s="61" t="s">
        <v>291</v>
      </c>
      <c r="D315" s="9" t="s">
        <v>292</v>
      </c>
      <c r="E315" s="4"/>
      <c r="F315" s="4"/>
      <c r="G315" s="4"/>
      <c r="H315" s="4"/>
      <c r="I315" s="57" t="e">
        <f t="shared" si="77"/>
        <v>#DIV/0!</v>
      </c>
      <c r="J315" s="4"/>
      <c r="K315" s="4"/>
      <c r="L315" s="8" t="e">
        <f t="shared" si="86"/>
        <v>#DIV/0!</v>
      </c>
      <c r="M315" s="58"/>
      <c r="N315" s="57"/>
    </row>
    <row r="316" spans="1:14" s="10" customFormat="1" ht="21.75" customHeight="1">
      <c r="A316" s="239"/>
      <c r="B316" s="243" t="s">
        <v>188</v>
      </c>
      <c r="C316" s="5"/>
      <c r="D316" s="7" t="s">
        <v>189</v>
      </c>
      <c r="E316" s="8">
        <f aca="true" t="shared" si="94" ref="E316:K316">E320+E317+E319+E318</f>
        <v>317799.27</v>
      </c>
      <c r="F316" s="8">
        <f t="shared" si="94"/>
        <v>443700</v>
      </c>
      <c r="G316" s="8">
        <f t="shared" si="94"/>
        <v>443700</v>
      </c>
      <c r="H316" s="8">
        <f t="shared" si="94"/>
        <v>221398.32</v>
      </c>
      <c r="I316" s="57">
        <f t="shared" si="77"/>
        <v>49.89820148749155</v>
      </c>
      <c r="J316" s="8">
        <f t="shared" si="94"/>
        <v>0</v>
      </c>
      <c r="K316" s="8">
        <f t="shared" si="94"/>
        <v>0</v>
      </c>
      <c r="L316" s="8" t="e">
        <f t="shared" si="86"/>
        <v>#DIV/0!</v>
      </c>
      <c r="M316" s="57">
        <f>(H316/G316)*100</f>
        <v>49.89820148749155</v>
      </c>
      <c r="N316" s="57">
        <f>(H316/E316)*100</f>
        <v>69.6660882827075</v>
      </c>
    </row>
    <row r="317" spans="1:14" s="29" customFormat="1" ht="22.5">
      <c r="A317" s="239"/>
      <c r="B317" s="247"/>
      <c r="C317" s="6" t="s">
        <v>96</v>
      </c>
      <c r="D317" s="9" t="s">
        <v>25</v>
      </c>
      <c r="E317" s="4">
        <v>315442.51</v>
      </c>
      <c r="F317" s="4">
        <v>443700</v>
      </c>
      <c r="G317" s="4">
        <v>443700</v>
      </c>
      <c r="H317" s="4">
        <v>221308.89</v>
      </c>
      <c r="I317" s="57">
        <f t="shared" si="77"/>
        <v>49.878045977011496</v>
      </c>
      <c r="J317" s="4"/>
      <c r="K317" s="4"/>
      <c r="L317" s="8" t="e">
        <f t="shared" si="86"/>
        <v>#DIV/0!</v>
      </c>
      <c r="M317" s="58">
        <f>(H317/G317)*100</f>
        <v>49.878045977011496</v>
      </c>
      <c r="N317" s="58">
        <f>(H317/E317)*100</f>
        <v>70.15823263643192</v>
      </c>
    </row>
    <row r="318" spans="1:14" s="29" customFormat="1" ht="23.25" customHeight="1">
      <c r="A318" s="239"/>
      <c r="B318" s="247"/>
      <c r="C318" s="6" t="s">
        <v>90</v>
      </c>
      <c r="D318" s="9" t="s">
        <v>194</v>
      </c>
      <c r="E318" s="4">
        <v>2356.76</v>
      </c>
      <c r="F318" s="4"/>
      <c r="G318" s="4">
        <v>0</v>
      </c>
      <c r="H318" s="4">
        <v>89.43</v>
      </c>
      <c r="I318" s="57" t="e">
        <f t="shared" si="77"/>
        <v>#DIV/0!</v>
      </c>
      <c r="J318" s="4"/>
      <c r="K318" s="4"/>
      <c r="L318" s="8" t="e">
        <f t="shared" si="86"/>
        <v>#DIV/0!</v>
      </c>
      <c r="M318" s="58" t="e">
        <f>(H318/G318)*100</f>
        <v>#DIV/0!</v>
      </c>
      <c r="N318" s="58"/>
    </row>
    <row r="319" spans="1:14" s="29" customFormat="1" ht="70.5" customHeight="1">
      <c r="A319" s="239"/>
      <c r="B319" s="247"/>
      <c r="C319" s="6" t="s">
        <v>112</v>
      </c>
      <c r="D319" s="9" t="s">
        <v>318</v>
      </c>
      <c r="E319" s="4"/>
      <c r="F319" s="4"/>
      <c r="G319" s="4"/>
      <c r="H319" s="4"/>
      <c r="I319" s="57" t="e">
        <f t="shared" si="77"/>
        <v>#DIV/0!</v>
      </c>
      <c r="J319" s="4"/>
      <c r="K319" s="4"/>
      <c r="L319" s="8" t="e">
        <f t="shared" si="86"/>
        <v>#DIV/0!</v>
      </c>
      <c r="M319" s="58" t="e">
        <f>(H319/G319)*100</f>
        <v>#DIV/0!</v>
      </c>
      <c r="N319" s="58"/>
    </row>
    <row r="320" spans="1:14" ht="78.75" customHeight="1">
      <c r="A320" s="239"/>
      <c r="B320" s="251"/>
      <c r="C320" s="6" t="s">
        <v>193</v>
      </c>
      <c r="D320" s="9" t="s">
        <v>145</v>
      </c>
      <c r="E320" s="4"/>
      <c r="F320" s="4"/>
      <c r="G320" s="4"/>
      <c r="H320" s="4"/>
      <c r="I320" s="57" t="e">
        <f t="shared" si="77"/>
        <v>#DIV/0!</v>
      </c>
      <c r="J320" s="4"/>
      <c r="K320" s="4"/>
      <c r="L320" s="8" t="e">
        <f t="shared" si="86"/>
        <v>#DIV/0!</v>
      </c>
      <c r="M320" s="58"/>
      <c r="N320" s="57"/>
    </row>
    <row r="321" spans="1:14" ht="12.75">
      <c r="A321" s="237" t="s">
        <v>172</v>
      </c>
      <c r="B321" s="237"/>
      <c r="C321" s="237"/>
      <c r="D321" s="237"/>
      <c r="E321" s="192">
        <f aca="true" t="shared" si="95" ref="E321:K321">+E296+E266+E247+E201+E195+E141+E129+E93+E80+E75+E52+E49+E31+E20+E7+E305+E251</f>
        <v>32497093.78</v>
      </c>
      <c r="F321" s="8">
        <f t="shared" si="95"/>
        <v>42350282.93</v>
      </c>
      <c r="G321" s="8">
        <f>G7+G18+G20+G49+G52+G75+G80+G93+G129+G141+G201+G247+G251+G266+G296+G305+G31</f>
        <v>39074735.07</v>
      </c>
      <c r="H321" s="8">
        <f>H7+H18+H20+H49+H52+H75+H80+H93+H129+H141+H201+H247+H251+H266+H296+H305+H31</f>
        <v>27536788.610000003</v>
      </c>
      <c r="I321" s="57">
        <f t="shared" si="77"/>
        <v>70.47210572424747</v>
      </c>
      <c r="J321" s="192">
        <f t="shared" si="95"/>
        <v>35877033.96000001</v>
      </c>
      <c r="K321" s="8">
        <f t="shared" si="95"/>
        <v>33377900.180000003</v>
      </c>
      <c r="L321" s="8">
        <f t="shared" si="86"/>
        <v>93.0341683685827</v>
      </c>
      <c r="M321" s="57">
        <f>(H321/G321)*100</f>
        <v>70.47210572424747</v>
      </c>
      <c r="N321" s="57">
        <f>(H321/E321)*100</f>
        <v>84.73615762818531</v>
      </c>
    </row>
    <row r="322" spans="1:14" ht="12.75">
      <c r="A322" s="55"/>
      <c r="B322" s="55"/>
      <c r="C322" s="55"/>
      <c r="D322" s="65" t="s">
        <v>173</v>
      </c>
      <c r="E322" s="64">
        <f aca="true" t="shared" si="96" ref="E322:K322">E9+E41+E271+E314+E320+E12+E295+E47+E29+E40+E88+E300+E30+E48+E74+E86+E85+E171+E278+E281+E284+E315+E42+E13+E160</f>
        <v>293371.72</v>
      </c>
      <c r="F322" s="64">
        <f t="shared" si="96"/>
        <v>9017923.610000001</v>
      </c>
      <c r="G322" s="64">
        <f>G9+G41+G271+G314+G320+G12+G295+G47+G29+G40+G88+G300+G30+G48+G74+G86+G85+G171+G278+G281+G284+G315+G42+G13+G160</f>
        <v>5223125.640000001</v>
      </c>
      <c r="H322" s="64">
        <f t="shared" si="96"/>
        <v>2176968.92</v>
      </c>
      <c r="I322" s="57">
        <f t="shared" si="77"/>
        <v>41.679428565306345</v>
      </c>
      <c r="J322" s="64">
        <f t="shared" si="96"/>
        <v>4017380.48</v>
      </c>
      <c r="K322" s="64">
        <f t="shared" si="96"/>
        <v>205500</v>
      </c>
      <c r="L322" s="8">
        <f t="shared" si="86"/>
        <v>5.115273522710998</v>
      </c>
      <c r="M322" s="66">
        <f>(H322/G322)*100</f>
        <v>41.679428565306345</v>
      </c>
      <c r="N322" s="58">
        <f>(H322/E322)*100</f>
        <v>742.0513879115547</v>
      </c>
    </row>
    <row r="323" spans="1:14" ht="12.75">
      <c r="A323" s="55"/>
      <c r="B323" s="55"/>
      <c r="C323" s="55"/>
      <c r="D323" s="65" t="s">
        <v>174</v>
      </c>
      <c r="E323" s="64">
        <f aca="true" t="shared" si="97" ref="E323:K323">E321-E322</f>
        <v>32203722.060000002</v>
      </c>
      <c r="F323" s="64">
        <f t="shared" si="97"/>
        <v>33332359.32</v>
      </c>
      <c r="G323" s="64">
        <f t="shared" si="97"/>
        <v>33851609.43</v>
      </c>
      <c r="H323" s="64">
        <f t="shared" si="97"/>
        <v>25359819.690000005</v>
      </c>
      <c r="I323" s="57">
        <f t="shared" si="77"/>
        <v>74.91466467034684</v>
      </c>
      <c r="J323" s="64">
        <f t="shared" si="97"/>
        <v>31859653.480000008</v>
      </c>
      <c r="K323" s="64">
        <f t="shared" si="97"/>
        <v>33172400.180000003</v>
      </c>
      <c r="L323" s="8">
        <f t="shared" si="86"/>
        <v>104.12040482745385</v>
      </c>
      <c r="M323" s="66">
        <f>(H323/G323)*100</f>
        <v>74.91466467034684</v>
      </c>
      <c r="N323" s="58">
        <f>(H323/E323)*100</f>
        <v>78.74810136154802</v>
      </c>
    </row>
    <row r="324" ht="12.75">
      <c r="I324" s="57" t="e">
        <f t="shared" si="77"/>
        <v>#DIV/0!</v>
      </c>
    </row>
    <row r="325" spans="4:9" ht="18">
      <c r="D325" s="59"/>
      <c r="I325" s="57" t="e">
        <f t="shared" si="77"/>
        <v>#DIV/0!</v>
      </c>
    </row>
    <row r="326" ht="12.75">
      <c r="I326" s="57" t="e">
        <f t="shared" si="77"/>
        <v>#DIV/0!</v>
      </c>
    </row>
    <row r="327" ht="12.75">
      <c r="I327" s="57" t="e">
        <f t="shared" si="77"/>
        <v>#DIV/0!</v>
      </c>
    </row>
  </sheetData>
  <sheetProtection/>
  <mergeCells count="86">
    <mergeCell ref="A247:A250"/>
    <mergeCell ref="B248:B250"/>
    <mergeCell ref="B172:B174"/>
    <mergeCell ref="B205:B206"/>
    <mergeCell ref="B207:B208"/>
    <mergeCell ref="B209:B210"/>
    <mergeCell ref="B233:B236"/>
    <mergeCell ref="A201:A245"/>
    <mergeCell ref="B211:B214"/>
    <mergeCell ref="B202:B204"/>
    <mergeCell ref="B306:B315"/>
    <mergeCell ref="B23:B30"/>
    <mergeCell ref="A31:A48"/>
    <mergeCell ref="B35:B48"/>
    <mergeCell ref="B53:B55"/>
    <mergeCell ref="A52:A74"/>
    <mergeCell ref="A251:A265"/>
    <mergeCell ref="A80:A92"/>
    <mergeCell ref="B89:B92"/>
    <mergeCell ref="B56:B65"/>
    <mergeCell ref="B184:B185"/>
    <mergeCell ref="B142:B150"/>
    <mergeCell ref="B163:B171"/>
    <mergeCell ref="B218:B219"/>
    <mergeCell ref="B222:B223"/>
    <mergeCell ref="A195:A200"/>
    <mergeCell ref="B161:B162"/>
    <mergeCell ref="A190:A194"/>
    <mergeCell ref="B190:B194"/>
    <mergeCell ref="B71:B74"/>
    <mergeCell ref="B81:B88"/>
    <mergeCell ref="B32:B34"/>
    <mergeCell ref="B175:B183"/>
    <mergeCell ref="B186:B187"/>
    <mergeCell ref="A49:A51"/>
    <mergeCell ref="A129:A140"/>
    <mergeCell ref="A93:A128"/>
    <mergeCell ref="B126:B128"/>
    <mergeCell ref="B121:B125"/>
    <mergeCell ref="A1:A5"/>
    <mergeCell ref="A7:A17"/>
    <mergeCell ref="B1:B5"/>
    <mergeCell ref="B8:B12"/>
    <mergeCell ref="B14:B17"/>
    <mergeCell ref="B21:B22"/>
    <mergeCell ref="A20:A30"/>
    <mergeCell ref="B106:B120"/>
    <mergeCell ref="F1:N2"/>
    <mergeCell ref="F3:F5"/>
    <mergeCell ref="G3:G5"/>
    <mergeCell ref="H3:H5"/>
    <mergeCell ref="M3:M5"/>
    <mergeCell ref="N3:N5"/>
    <mergeCell ref="J3:J5"/>
    <mergeCell ref="L3:L5"/>
    <mergeCell ref="K3:K5"/>
    <mergeCell ref="B272:B278"/>
    <mergeCell ref="B254:B260"/>
    <mergeCell ref="E1:E2"/>
    <mergeCell ref="E3:E5"/>
    <mergeCell ref="B76:B77"/>
    <mergeCell ref="D1:D5"/>
    <mergeCell ref="C1:C5"/>
    <mergeCell ref="B66:B67"/>
    <mergeCell ref="B68:B70"/>
    <mergeCell ref="B96:B105"/>
    <mergeCell ref="A75:A77"/>
    <mergeCell ref="B152:B153"/>
    <mergeCell ref="B154:B159"/>
    <mergeCell ref="B94:B95"/>
    <mergeCell ref="A305:A320"/>
    <mergeCell ref="A296:A304"/>
    <mergeCell ref="B316:B320"/>
    <mergeCell ref="B242:B245"/>
    <mergeCell ref="B286:B287"/>
    <mergeCell ref="B267:B271"/>
    <mergeCell ref="B231:B232"/>
    <mergeCell ref="A321:D321"/>
    <mergeCell ref="A141:A189"/>
    <mergeCell ref="A266:A295"/>
    <mergeCell ref="B215:B217"/>
    <mergeCell ref="B227:B230"/>
    <mergeCell ref="B292:B295"/>
    <mergeCell ref="B297:B300"/>
    <mergeCell ref="B279:B281"/>
    <mergeCell ref="B282:B284"/>
  </mergeCells>
  <printOptions/>
  <pageMargins left="0.7480314960629921" right="0.7480314960629921" top="0.9448818897637796" bottom="0.3937007874015748" header="0.5118110236220472" footer="0.5118110236220472"/>
  <pageSetup horizontalDpi="600" verticalDpi="600" orientation="landscape" paperSize="9" r:id="rId1"/>
  <headerFooter alignWithMargins="0">
    <oddHeader>&amp;L&amp;P&amp;CPROJEKT DOCHODÓW budzetu gminy Jeziorany na rok 2019
Zał.Nr 1              w zł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5.8515625" style="0" customWidth="1"/>
    <col min="2" max="2" width="8.140625" style="0" customWidth="1"/>
    <col min="3" max="3" width="7.421875" style="0" customWidth="1"/>
    <col min="4" max="4" width="23.8515625" style="0" customWidth="1"/>
    <col min="5" max="5" width="10.421875" style="0" customWidth="1"/>
    <col min="6" max="6" width="12.7109375" style="0" customWidth="1"/>
    <col min="7" max="7" width="13.00390625" style="0" customWidth="1"/>
    <col min="8" max="8" width="10.8515625" style="0" customWidth="1"/>
  </cols>
  <sheetData>
    <row r="1" spans="1:10" ht="12.75">
      <c r="A1" s="286" t="s">
        <v>85</v>
      </c>
      <c r="B1" s="237" t="s">
        <v>155</v>
      </c>
      <c r="C1" s="287" t="s">
        <v>0</v>
      </c>
      <c r="D1" s="292" t="s">
        <v>1</v>
      </c>
      <c r="E1" s="292" t="s">
        <v>399</v>
      </c>
      <c r="F1" s="293"/>
      <c r="G1" s="294"/>
      <c r="H1" s="294"/>
      <c r="I1" s="294"/>
      <c r="J1" s="295"/>
    </row>
    <row r="2" spans="1:10" ht="12.75">
      <c r="A2" s="287"/>
      <c r="B2" s="287"/>
      <c r="C2" s="288"/>
      <c r="D2" s="288"/>
      <c r="E2" s="292"/>
      <c r="F2" s="296"/>
      <c r="G2" s="297"/>
      <c r="H2" s="297"/>
      <c r="I2" s="297"/>
      <c r="J2" s="298"/>
    </row>
    <row r="3" spans="1:10" ht="18" customHeight="1">
      <c r="A3" s="287"/>
      <c r="B3" s="287"/>
      <c r="C3" s="288"/>
      <c r="D3" s="288"/>
      <c r="E3" s="292"/>
      <c r="F3" s="296"/>
      <c r="G3" s="297"/>
      <c r="H3" s="297"/>
      <c r="I3" s="297"/>
      <c r="J3" s="298"/>
    </row>
    <row r="4" spans="1:10" ht="13.5" customHeight="1" hidden="1">
      <c r="A4" s="287"/>
      <c r="B4" s="287"/>
      <c r="C4" s="288"/>
      <c r="D4" s="288"/>
      <c r="E4" s="292"/>
      <c r="F4" s="296"/>
      <c r="G4" s="297"/>
      <c r="H4" s="297"/>
      <c r="I4" s="297"/>
      <c r="J4" s="298"/>
    </row>
    <row r="5" spans="1:10" ht="13.5" customHeight="1" hidden="1">
      <c r="A5" s="287"/>
      <c r="B5" s="287"/>
      <c r="C5" s="288"/>
      <c r="D5" s="288"/>
      <c r="E5" s="292"/>
      <c r="F5" s="296"/>
      <c r="G5" s="297"/>
      <c r="H5" s="297"/>
      <c r="I5" s="297"/>
      <c r="J5" s="298"/>
    </row>
    <row r="6" spans="1:10" ht="13.5" customHeight="1" hidden="1">
      <c r="A6" s="287"/>
      <c r="B6" s="287"/>
      <c r="C6" s="288"/>
      <c r="D6" s="288"/>
      <c r="E6" s="292"/>
      <c r="F6" s="296"/>
      <c r="G6" s="297"/>
      <c r="H6" s="297"/>
      <c r="I6" s="297"/>
      <c r="J6" s="298"/>
    </row>
    <row r="7" spans="1:10" ht="13.5" customHeight="1" hidden="1">
      <c r="A7" s="287"/>
      <c r="B7" s="287"/>
      <c r="C7" s="288"/>
      <c r="D7" s="288"/>
      <c r="E7" s="292"/>
      <c r="F7" s="299"/>
      <c r="G7" s="300"/>
      <c r="H7" s="300"/>
      <c r="I7" s="300"/>
      <c r="J7" s="301"/>
    </row>
    <row r="8" spans="1:10" ht="23.25" customHeight="1">
      <c r="A8" s="287"/>
      <c r="B8" s="287"/>
      <c r="C8" s="288"/>
      <c r="D8" s="288"/>
      <c r="E8" s="286" t="s">
        <v>2</v>
      </c>
      <c r="F8" s="286" t="s">
        <v>3</v>
      </c>
      <c r="G8" s="286" t="s">
        <v>4</v>
      </c>
      <c r="H8" s="286" t="s">
        <v>400</v>
      </c>
      <c r="I8" s="286" t="s">
        <v>131</v>
      </c>
      <c r="J8" s="286" t="s">
        <v>132</v>
      </c>
    </row>
    <row r="9" spans="1:10" ht="12.75">
      <c r="A9" s="287"/>
      <c r="B9" s="287"/>
      <c r="C9" s="288"/>
      <c r="D9" s="288"/>
      <c r="E9" s="288"/>
      <c r="F9" s="286"/>
      <c r="G9" s="286"/>
      <c r="H9" s="289"/>
      <c r="I9" s="289"/>
      <c r="J9" s="289"/>
    </row>
    <row r="10" spans="1:10" ht="12.75">
      <c r="A10" s="287"/>
      <c r="B10" s="287"/>
      <c r="C10" s="288"/>
      <c r="D10" s="288"/>
      <c r="E10" s="288"/>
      <c r="F10" s="286"/>
      <c r="G10" s="286"/>
      <c r="H10" s="289"/>
      <c r="I10" s="289"/>
      <c r="J10" s="289"/>
    </row>
    <row r="11" spans="1:10" s="31" customFormat="1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7</v>
      </c>
      <c r="G11" s="30">
        <v>8</v>
      </c>
      <c r="H11" s="30">
        <v>9</v>
      </c>
      <c r="I11" s="30">
        <v>10</v>
      </c>
      <c r="J11" s="30">
        <v>11</v>
      </c>
    </row>
    <row r="12" spans="1:10" s="11" customFormat="1" ht="12.75">
      <c r="A12" s="280">
        <v>600</v>
      </c>
      <c r="B12" s="18"/>
      <c r="C12" s="18"/>
      <c r="D12" s="18" t="s">
        <v>133</v>
      </c>
      <c r="E12" s="23">
        <f aca="true" t="shared" si="0" ref="E12:H13">E13</f>
        <v>70000</v>
      </c>
      <c r="F12" s="23">
        <f t="shared" si="0"/>
        <v>70000</v>
      </c>
      <c r="G12" s="23">
        <f t="shared" si="0"/>
        <v>0</v>
      </c>
      <c r="H12" s="23">
        <f t="shared" si="0"/>
        <v>0</v>
      </c>
      <c r="I12" s="27" t="e">
        <f aca="true" t="shared" si="1" ref="I12:I26">(H12/G12)*100</f>
        <v>#DIV/0!</v>
      </c>
      <c r="J12" s="27">
        <f>(H12/E12)*100</f>
        <v>0</v>
      </c>
    </row>
    <row r="13" spans="1:10" s="11" customFormat="1" ht="12.75">
      <c r="A13" s="241"/>
      <c r="B13" s="285">
        <v>60014</v>
      </c>
      <c r="C13" s="15"/>
      <c r="D13" s="15" t="s">
        <v>10</v>
      </c>
      <c r="E13" s="16">
        <f t="shared" si="0"/>
        <v>70000</v>
      </c>
      <c r="F13" s="16">
        <f t="shared" si="0"/>
        <v>70000</v>
      </c>
      <c r="G13" s="16">
        <f t="shared" si="0"/>
        <v>0</v>
      </c>
      <c r="H13" s="16">
        <f t="shared" si="0"/>
        <v>0</v>
      </c>
      <c r="I13" s="27" t="e">
        <f t="shared" si="1"/>
        <v>#DIV/0!</v>
      </c>
      <c r="J13" s="27">
        <f>(H13/E13)*100</f>
        <v>0</v>
      </c>
    </row>
    <row r="14" spans="1:10" s="11" customFormat="1" ht="35.25" customHeight="1">
      <c r="A14" s="241"/>
      <c r="B14" s="241"/>
      <c r="C14" s="12">
        <v>2320</v>
      </c>
      <c r="D14" s="9" t="s">
        <v>134</v>
      </c>
      <c r="E14" s="24">
        <v>70000</v>
      </c>
      <c r="F14" s="17">
        <v>70000</v>
      </c>
      <c r="G14" s="24"/>
      <c r="H14" s="24"/>
      <c r="I14" s="28" t="e">
        <f t="shared" si="1"/>
        <v>#DIV/0!</v>
      </c>
      <c r="J14" s="27">
        <f>(H14/E14)*100</f>
        <v>0</v>
      </c>
    </row>
    <row r="15" spans="1:10" s="11" customFormat="1" ht="14.25" customHeight="1">
      <c r="A15" s="285">
        <v>710</v>
      </c>
      <c r="B15" s="12"/>
      <c r="C15" s="12"/>
      <c r="D15" s="7" t="s">
        <v>139</v>
      </c>
      <c r="E15" s="23">
        <f>E16</f>
        <v>5000</v>
      </c>
      <c r="F15" s="23">
        <f aca="true" t="shared" si="2" ref="F15:H16">F16</f>
        <v>5000</v>
      </c>
      <c r="G15" s="23">
        <f t="shared" si="2"/>
        <v>0</v>
      </c>
      <c r="H15" s="23">
        <f t="shared" si="2"/>
        <v>0</v>
      </c>
      <c r="I15" s="27" t="e">
        <f t="shared" si="1"/>
        <v>#DIV/0!</v>
      </c>
      <c r="J15" s="27"/>
    </row>
    <row r="16" spans="1:10" s="11" customFormat="1" ht="14.25" customHeight="1">
      <c r="A16" s="241"/>
      <c r="B16" s="285">
        <v>70135</v>
      </c>
      <c r="C16" s="12"/>
      <c r="D16" s="7" t="s">
        <v>140</v>
      </c>
      <c r="E16" s="23">
        <f>E17</f>
        <v>5000</v>
      </c>
      <c r="F16" s="23">
        <f t="shared" si="2"/>
        <v>5000</v>
      </c>
      <c r="G16" s="23">
        <f t="shared" si="2"/>
        <v>0</v>
      </c>
      <c r="H16" s="23">
        <f t="shared" si="2"/>
        <v>0</v>
      </c>
      <c r="I16" s="27" t="e">
        <f t="shared" si="1"/>
        <v>#DIV/0!</v>
      </c>
      <c r="J16" s="27"/>
    </row>
    <row r="17" spans="1:10" s="11" customFormat="1" ht="63" customHeight="1">
      <c r="A17" s="242"/>
      <c r="B17" s="242"/>
      <c r="C17" s="12">
        <v>2020</v>
      </c>
      <c r="D17" s="12" t="s">
        <v>138</v>
      </c>
      <c r="E17" s="24">
        <v>5000</v>
      </c>
      <c r="F17" s="17">
        <v>5000</v>
      </c>
      <c r="G17" s="24"/>
      <c r="H17" s="24"/>
      <c r="I17" s="28" t="e">
        <f t="shared" si="1"/>
        <v>#DIV/0!</v>
      </c>
      <c r="J17" s="28"/>
    </row>
    <row r="18" spans="1:10" s="11" customFormat="1" ht="24">
      <c r="A18" s="291">
        <v>754</v>
      </c>
      <c r="B18" s="131"/>
      <c r="C18" s="15"/>
      <c r="D18" s="15" t="s">
        <v>268</v>
      </c>
      <c r="E18" s="23">
        <f aca="true" t="shared" si="3" ref="E18:H19">E19</f>
        <v>0</v>
      </c>
      <c r="F18" s="23">
        <f t="shared" si="3"/>
        <v>40000</v>
      </c>
      <c r="G18" s="23">
        <f t="shared" si="3"/>
        <v>0</v>
      </c>
      <c r="H18" s="23">
        <f t="shared" si="3"/>
        <v>0</v>
      </c>
      <c r="I18" s="27"/>
      <c r="J18" s="27"/>
    </row>
    <row r="19" spans="1:10" s="11" customFormat="1" ht="16.5" customHeight="1">
      <c r="A19" s="241"/>
      <c r="B19" s="129">
        <v>75412</v>
      </c>
      <c r="C19" s="12"/>
      <c r="D19" s="12" t="s">
        <v>261</v>
      </c>
      <c r="E19" s="24">
        <f t="shared" si="3"/>
        <v>0</v>
      </c>
      <c r="F19" s="24">
        <f t="shared" si="3"/>
        <v>40000</v>
      </c>
      <c r="G19" s="24">
        <f t="shared" si="3"/>
        <v>0</v>
      </c>
      <c r="H19" s="24">
        <f t="shared" si="3"/>
        <v>0</v>
      </c>
      <c r="I19" s="28"/>
      <c r="J19" s="28"/>
    </row>
    <row r="20" spans="1:10" s="11" customFormat="1" ht="84">
      <c r="A20" s="242"/>
      <c r="B20" s="129"/>
      <c r="C20" s="12">
        <v>6630</v>
      </c>
      <c r="D20" s="12" t="s">
        <v>269</v>
      </c>
      <c r="E20" s="24"/>
      <c r="F20" s="17">
        <v>40000</v>
      </c>
      <c r="G20" s="24"/>
      <c r="H20" s="24"/>
      <c r="I20" s="28"/>
      <c r="J20" s="28"/>
    </row>
    <row r="21" spans="1:10" s="11" customFormat="1" ht="28.5" customHeight="1">
      <c r="A21" s="285">
        <v>921</v>
      </c>
      <c r="B21" s="15"/>
      <c r="C21" s="15"/>
      <c r="D21" s="15" t="s">
        <v>136</v>
      </c>
      <c r="E21" s="16">
        <f>E22+E24</f>
        <v>0</v>
      </c>
      <c r="F21" s="16">
        <f>F22+F24</f>
        <v>14216</v>
      </c>
      <c r="G21" s="16">
        <f>G22+G24</f>
        <v>0</v>
      </c>
      <c r="H21" s="16">
        <f>H22+H24</f>
        <v>0</v>
      </c>
      <c r="I21" s="27" t="e">
        <f t="shared" si="1"/>
        <v>#DIV/0!</v>
      </c>
      <c r="J21" s="27" t="e">
        <f>(H21/E21)*100</f>
        <v>#DIV/0!</v>
      </c>
    </row>
    <row r="22" spans="1:10" s="11" customFormat="1" ht="24">
      <c r="A22" s="241"/>
      <c r="B22" s="285">
        <v>92109</v>
      </c>
      <c r="C22" s="15"/>
      <c r="D22" s="15" t="s">
        <v>141</v>
      </c>
      <c r="E22" s="16">
        <f>E23</f>
        <v>0</v>
      </c>
      <c r="F22" s="16">
        <f>F23</f>
        <v>10000</v>
      </c>
      <c r="G22" s="16">
        <f>G23</f>
        <v>0</v>
      </c>
      <c r="H22" s="16">
        <f>H23</f>
        <v>0</v>
      </c>
      <c r="I22" s="27" t="e">
        <f t="shared" si="1"/>
        <v>#DIV/0!</v>
      </c>
      <c r="J22" s="27" t="e">
        <f>(H22/E22)*100</f>
        <v>#DIV/0!</v>
      </c>
    </row>
    <row r="23" spans="1:10" s="11" customFormat="1" ht="47.25" customHeight="1">
      <c r="A23" s="241"/>
      <c r="B23" s="290"/>
      <c r="C23" s="12">
        <v>2320</v>
      </c>
      <c r="D23" s="9" t="s">
        <v>135</v>
      </c>
      <c r="E23" s="17"/>
      <c r="F23" s="17">
        <v>10000</v>
      </c>
      <c r="G23" s="17"/>
      <c r="H23" s="17"/>
      <c r="I23" s="28" t="e">
        <f t="shared" si="1"/>
        <v>#DIV/0!</v>
      </c>
      <c r="J23" s="28" t="e">
        <f>(H23/E23)*100</f>
        <v>#DIV/0!</v>
      </c>
    </row>
    <row r="24" spans="1:10" s="11" customFormat="1" ht="12.75">
      <c r="A24" s="241"/>
      <c r="B24" s="130">
        <v>92116</v>
      </c>
      <c r="C24" s="12"/>
      <c r="D24" s="9" t="s">
        <v>267</v>
      </c>
      <c r="E24" s="17">
        <f>E25</f>
        <v>0</v>
      </c>
      <c r="F24" s="17">
        <f>F25</f>
        <v>4216</v>
      </c>
      <c r="G24" s="17">
        <f>G25</f>
        <v>0</v>
      </c>
      <c r="H24" s="17">
        <f>H25</f>
        <v>0</v>
      </c>
      <c r="I24" s="28"/>
      <c r="J24" s="28"/>
    </row>
    <row r="25" spans="1:10" s="11" customFormat="1" ht="47.25" customHeight="1">
      <c r="A25" s="242"/>
      <c r="B25" s="130"/>
      <c r="C25" s="12">
        <v>2320</v>
      </c>
      <c r="D25" s="9" t="s">
        <v>135</v>
      </c>
      <c r="E25" s="17"/>
      <c r="F25" s="17">
        <v>4216</v>
      </c>
      <c r="G25" s="17"/>
      <c r="H25" s="17"/>
      <c r="I25" s="28"/>
      <c r="J25" s="28"/>
    </row>
    <row r="26" spans="1:10" s="11" customFormat="1" ht="12.75">
      <c r="A26" s="12"/>
      <c r="B26" s="12"/>
      <c r="C26" s="12"/>
      <c r="D26" s="18" t="s">
        <v>137</v>
      </c>
      <c r="E26" s="23">
        <f>E21+E12+E15+E18</f>
        <v>75000</v>
      </c>
      <c r="F26" s="23">
        <f>F21+F12+F15+F18</f>
        <v>129216</v>
      </c>
      <c r="G26" s="23">
        <f>G21+G12+G15+G18</f>
        <v>0</v>
      </c>
      <c r="H26" s="23">
        <f>H21+H12+H15+H18</f>
        <v>0</v>
      </c>
      <c r="I26" s="27" t="e">
        <f t="shared" si="1"/>
        <v>#DIV/0!</v>
      </c>
      <c r="J26" s="27">
        <f>(H26/E26)*100</f>
        <v>0</v>
      </c>
    </row>
  </sheetData>
  <sheetProtection/>
  <mergeCells count="19">
    <mergeCell ref="B13:B14"/>
    <mergeCell ref="B16:B17"/>
    <mergeCell ref="E1:E7"/>
    <mergeCell ref="F1:J7"/>
    <mergeCell ref="I8:I10"/>
    <mergeCell ref="J8:J10"/>
    <mergeCell ref="D1:D10"/>
    <mergeCell ref="C1:C10"/>
    <mergeCell ref="G8:G10"/>
    <mergeCell ref="A15:A17"/>
    <mergeCell ref="A1:A10"/>
    <mergeCell ref="B1:B10"/>
    <mergeCell ref="E8:E10"/>
    <mergeCell ref="H8:H10"/>
    <mergeCell ref="B22:B23"/>
    <mergeCell ref="A12:A14"/>
    <mergeCell ref="F8:F10"/>
    <mergeCell ref="A18:A20"/>
    <mergeCell ref="A21:A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E1" sqref="E1:E7"/>
    </sheetView>
  </sheetViews>
  <sheetFormatPr defaultColWidth="9.140625" defaultRowHeight="12.75"/>
  <cols>
    <col min="1" max="1" width="5.140625" style="0" bestFit="1" customWidth="1"/>
    <col min="2" max="2" width="6.28125" style="0" customWidth="1"/>
    <col min="3" max="3" width="5.00390625" style="0" customWidth="1"/>
    <col min="4" max="4" width="32.28125" style="11" customWidth="1"/>
    <col min="5" max="5" width="11.7109375" style="0" customWidth="1"/>
    <col min="6" max="6" width="11.421875" style="0" customWidth="1"/>
    <col min="7" max="7" width="10.00390625" style="0" bestFit="1" customWidth="1"/>
    <col min="8" max="8" width="9.8515625" style="0" customWidth="1"/>
    <col min="9" max="9" width="6.00390625" style="0" customWidth="1"/>
    <col min="10" max="10" width="6.28125" style="0" customWidth="1"/>
  </cols>
  <sheetData>
    <row r="1" spans="1:10" ht="12.75">
      <c r="A1" s="286" t="s">
        <v>85</v>
      </c>
      <c r="B1" s="237" t="s">
        <v>84</v>
      </c>
      <c r="C1" s="287" t="s">
        <v>0</v>
      </c>
      <c r="D1" s="292" t="s">
        <v>1</v>
      </c>
      <c r="E1" s="305" t="s">
        <v>399</v>
      </c>
      <c r="F1" s="293"/>
      <c r="G1" s="294"/>
      <c r="H1" s="294"/>
      <c r="I1" s="294"/>
      <c r="J1" s="295"/>
    </row>
    <row r="2" spans="1:10" ht="12.75">
      <c r="A2" s="287"/>
      <c r="B2" s="287"/>
      <c r="C2" s="288"/>
      <c r="D2" s="288"/>
      <c r="E2" s="305"/>
      <c r="F2" s="296"/>
      <c r="G2" s="297"/>
      <c r="H2" s="297"/>
      <c r="I2" s="297"/>
      <c r="J2" s="298"/>
    </row>
    <row r="3" spans="1:10" ht="12.75" customHeight="1">
      <c r="A3" s="287"/>
      <c r="B3" s="287"/>
      <c r="C3" s="288"/>
      <c r="D3" s="288"/>
      <c r="E3" s="305"/>
      <c r="F3" s="296"/>
      <c r="G3" s="297"/>
      <c r="H3" s="297"/>
      <c r="I3" s="297"/>
      <c r="J3" s="298"/>
    </row>
    <row r="4" spans="1:10" ht="13.5" customHeight="1" hidden="1" thickBot="1">
      <c r="A4" s="287"/>
      <c r="B4" s="287"/>
      <c r="C4" s="288"/>
      <c r="D4" s="288"/>
      <c r="E4" s="305"/>
      <c r="F4" s="296"/>
      <c r="G4" s="297"/>
      <c r="H4" s="297"/>
      <c r="I4" s="297"/>
      <c r="J4" s="298"/>
    </row>
    <row r="5" spans="1:10" ht="13.5" customHeight="1" hidden="1" thickBot="1">
      <c r="A5" s="287"/>
      <c r="B5" s="287"/>
      <c r="C5" s="288"/>
      <c r="D5" s="288"/>
      <c r="E5" s="305"/>
      <c r="F5" s="296"/>
      <c r="G5" s="297"/>
      <c r="H5" s="297"/>
      <c r="I5" s="297"/>
      <c r="J5" s="298"/>
    </row>
    <row r="6" spans="1:10" ht="13.5" customHeight="1" hidden="1" thickBot="1">
      <c r="A6" s="287"/>
      <c r="B6" s="287"/>
      <c r="C6" s="288"/>
      <c r="D6" s="288"/>
      <c r="E6" s="305"/>
      <c r="F6" s="296"/>
      <c r="G6" s="297"/>
      <c r="H6" s="297"/>
      <c r="I6" s="297"/>
      <c r="J6" s="298"/>
    </row>
    <row r="7" spans="1:10" ht="13.5" customHeight="1" hidden="1" thickBot="1">
      <c r="A7" s="287"/>
      <c r="B7" s="287"/>
      <c r="C7" s="288"/>
      <c r="D7" s="288"/>
      <c r="E7" s="305"/>
      <c r="F7" s="299"/>
      <c r="G7" s="300"/>
      <c r="H7" s="300"/>
      <c r="I7" s="300"/>
      <c r="J7" s="301"/>
    </row>
    <row r="8" spans="1:10" ht="12.75">
      <c r="A8" s="287"/>
      <c r="B8" s="287"/>
      <c r="C8" s="288"/>
      <c r="D8" s="288"/>
      <c r="E8" s="286" t="s">
        <v>2</v>
      </c>
      <c r="F8" s="286" t="s">
        <v>3</v>
      </c>
      <c r="G8" s="286" t="s">
        <v>4</v>
      </c>
      <c r="H8" s="286" t="s">
        <v>400</v>
      </c>
      <c r="I8" s="286" t="s">
        <v>131</v>
      </c>
      <c r="J8" s="286" t="s">
        <v>132</v>
      </c>
    </row>
    <row r="9" spans="1:10" ht="12.75">
      <c r="A9" s="287"/>
      <c r="B9" s="287"/>
      <c r="C9" s="288"/>
      <c r="D9" s="288"/>
      <c r="E9" s="288"/>
      <c r="F9" s="286"/>
      <c r="G9" s="286"/>
      <c r="H9" s="289"/>
      <c r="I9" s="289"/>
      <c r="J9" s="289"/>
    </row>
    <row r="10" spans="1:10" ht="26.25" customHeight="1">
      <c r="A10" s="287"/>
      <c r="B10" s="287"/>
      <c r="C10" s="288"/>
      <c r="D10" s="288"/>
      <c r="E10" s="288"/>
      <c r="F10" s="286"/>
      <c r="G10" s="286"/>
      <c r="H10" s="289"/>
      <c r="I10" s="289"/>
      <c r="J10" s="289"/>
    </row>
    <row r="11" spans="1:10" s="31" customFormat="1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7</v>
      </c>
      <c r="G11" s="30">
        <v>8</v>
      </c>
      <c r="H11" s="30">
        <v>9</v>
      </c>
      <c r="I11" s="30">
        <v>1</v>
      </c>
      <c r="J11" s="30">
        <v>11</v>
      </c>
    </row>
    <row r="12" spans="1:10" ht="12.75">
      <c r="A12" s="303" t="s">
        <v>87</v>
      </c>
      <c r="B12" s="14"/>
      <c r="C12" s="12"/>
      <c r="D12" s="15" t="s">
        <v>130</v>
      </c>
      <c r="E12" s="16">
        <f aca="true" t="shared" si="0" ref="E12:H13">E13</f>
        <v>0</v>
      </c>
      <c r="F12" s="16">
        <f t="shared" si="0"/>
        <v>0</v>
      </c>
      <c r="G12" s="16">
        <f t="shared" si="0"/>
        <v>0</v>
      </c>
      <c r="H12" s="16">
        <f t="shared" si="0"/>
        <v>0</v>
      </c>
      <c r="I12" s="20" t="e">
        <f>(H12/G12)*100</f>
        <v>#DIV/0!</v>
      </c>
      <c r="J12" s="20" t="e">
        <f aca="true" t="shared" si="1" ref="J12:J26">(H12/E12)*100</f>
        <v>#DIV/0!</v>
      </c>
    </row>
    <row r="13" spans="1:10" ht="12.75">
      <c r="A13" s="241"/>
      <c r="B13" s="13" t="s">
        <v>116</v>
      </c>
      <c r="C13" s="12"/>
      <c r="D13" s="12" t="s">
        <v>8</v>
      </c>
      <c r="E13" s="17">
        <f t="shared" si="0"/>
        <v>0</v>
      </c>
      <c r="F13" s="17">
        <f t="shared" si="0"/>
        <v>0</v>
      </c>
      <c r="G13" s="17">
        <f t="shared" si="0"/>
        <v>0</v>
      </c>
      <c r="H13" s="17">
        <f t="shared" si="0"/>
        <v>0</v>
      </c>
      <c r="I13" s="21" t="e">
        <f aca="true" t="shared" si="2" ref="I13:I38">(H13/G13)*100</f>
        <v>#DIV/0!</v>
      </c>
      <c r="J13" s="21" t="e">
        <f t="shared" si="1"/>
        <v>#DIV/0!</v>
      </c>
    </row>
    <row r="14" spans="1:10" ht="33.75">
      <c r="A14" s="242"/>
      <c r="B14" s="13"/>
      <c r="C14" s="12">
        <v>2010</v>
      </c>
      <c r="D14" s="9" t="s">
        <v>23</v>
      </c>
      <c r="E14" s="17"/>
      <c r="F14" s="17"/>
      <c r="G14" s="17"/>
      <c r="H14" s="17"/>
      <c r="I14" s="21" t="e">
        <f t="shared" si="2"/>
        <v>#DIV/0!</v>
      </c>
      <c r="J14" s="21" t="e">
        <f t="shared" si="1"/>
        <v>#DIV/0!</v>
      </c>
    </row>
    <row r="15" spans="1:10" ht="12.75">
      <c r="A15" s="280">
        <v>750</v>
      </c>
      <c r="B15" s="15"/>
      <c r="C15" s="19"/>
      <c r="D15" s="18" t="s">
        <v>21</v>
      </c>
      <c r="E15" s="16">
        <f aca="true" t="shared" si="3" ref="E15:H16">E16</f>
        <v>0</v>
      </c>
      <c r="F15" s="16">
        <f t="shared" si="3"/>
        <v>39763</v>
      </c>
      <c r="G15" s="16">
        <f t="shared" si="3"/>
        <v>0</v>
      </c>
      <c r="H15" s="16">
        <f t="shared" si="3"/>
        <v>0</v>
      </c>
      <c r="I15" s="20" t="e">
        <f t="shared" si="2"/>
        <v>#DIV/0!</v>
      </c>
      <c r="J15" s="20" t="e">
        <f t="shared" si="1"/>
        <v>#DIV/0!</v>
      </c>
    </row>
    <row r="16" spans="1:10" ht="12.75">
      <c r="A16" s="281"/>
      <c r="B16" s="15">
        <v>75011</v>
      </c>
      <c r="C16" s="19"/>
      <c r="D16" s="15" t="s">
        <v>22</v>
      </c>
      <c r="E16" s="17">
        <f t="shared" si="3"/>
        <v>0</v>
      </c>
      <c r="F16" s="17">
        <f t="shared" si="3"/>
        <v>39763</v>
      </c>
      <c r="G16" s="17">
        <f t="shared" si="3"/>
        <v>0</v>
      </c>
      <c r="H16" s="17">
        <f t="shared" si="3"/>
        <v>0</v>
      </c>
      <c r="I16" s="21" t="e">
        <f t="shared" si="2"/>
        <v>#DIV/0!</v>
      </c>
      <c r="J16" s="21" t="e">
        <f t="shared" si="1"/>
        <v>#DIV/0!</v>
      </c>
    </row>
    <row r="17" spans="1:10" ht="33.75">
      <c r="A17" s="281"/>
      <c r="B17" s="15"/>
      <c r="C17" s="19">
        <v>2010</v>
      </c>
      <c r="D17" s="9" t="s">
        <v>23</v>
      </c>
      <c r="E17" s="17"/>
      <c r="F17" s="17">
        <v>39763</v>
      </c>
      <c r="G17" s="17"/>
      <c r="H17" s="17"/>
      <c r="I17" s="21" t="e">
        <f t="shared" si="2"/>
        <v>#DIV/0!</v>
      </c>
      <c r="J17" s="21" t="e">
        <f t="shared" si="1"/>
        <v>#DIV/0!</v>
      </c>
    </row>
    <row r="18" spans="1:10" ht="14.25" customHeight="1">
      <c r="A18" s="280">
        <v>751</v>
      </c>
      <c r="B18" s="15"/>
      <c r="C18" s="19"/>
      <c r="D18" s="22" t="s">
        <v>27</v>
      </c>
      <c r="E18" s="23">
        <f>E19</f>
        <v>0</v>
      </c>
      <c r="F18" s="23">
        <f>F19</f>
        <v>1600</v>
      </c>
      <c r="G18" s="23">
        <f>G19</f>
        <v>0</v>
      </c>
      <c r="H18" s="23">
        <f>H19</f>
        <v>0</v>
      </c>
      <c r="I18" s="20" t="e">
        <f t="shared" si="2"/>
        <v>#DIV/0!</v>
      </c>
      <c r="J18" s="20" t="e">
        <f t="shared" si="1"/>
        <v>#DIV/0!</v>
      </c>
    </row>
    <row r="19" spans="1:10" ht="13.5" customHeight="1">
      <c r="A19" s="281"/>
      <c r="B19" s="15">
        <v>75101</v>
      </c>
      <c r="C19" s="19">
        <v>2010</v>
      </c>
      <c r="D19" s="9" t="s">
        <v>28</v>
      </c>
      <c r="E19" s="17"/>
      <c r="F19" s="17">
        <v>1600</v>
      </c>
      <c r="G19" s="17"/>
      <c r="H19" s="17"/>
      <c r="I19" s="21" t="e">
        <f t="shared" si="2"/>
        <v>#DIV/0!</v>
      </c>
      <c r="J19" s="21" t="e">
        <f t="shared" si="1"/>
        <v>#DIV/0!</v>
      </c>
    </row>
    <row r="20" spans="1:10" ht="16.5" customHeight="1">
      <c r="A20" s="280">
        <v>801</v>
      </c>
      <c r="B20" s="15"/>
      <c r="C20" s="18"/>
      <c r="D20" s="7" t="s">
        <v>55</v>
      </c>
      <c r="E20" s="16">
        <f>E21+E22+E23</f>
        <v>0</v>
      </c>
      <c r="F20" s="16">
        <f>F21+F22+F23</f>
        <v>0</v>
      </c>
      <c r="G20" s="16">
        <f>G21+G22+G23</f>
        <v>0</v>
      </c>
      <c r="H20" s="16">
        <f>H21+H22+H23</f>
        <v>0</v>
      </c>
      <c r="I20" s="21" t="e">
        <f t="shared" si="2"/>
        <v>#DIV/0!</v>
      </c>
      <c r="J20" s="21" t="e">
        <f t="shared" si="1"/>
        <v>#DIV/0!</v>
      </c>
    </row>
    <row r="21" spans="1:10" ht="16.5" customHeight="1">
      <c r="A21" s="281"/>
      <c r="B21" s="15">
        <v>80101</v>
      </c>
      <c r="C21" s="19">
        <v>2010</v>
      </c>
      <c r="D21" s="9" t="s">
        <v>274</v>
      </c>
      <c r="E21" s="17"/>
      <c r="F21" s="17"/>
      <c r="G21" s="17"/>
      <c r="H21" s="17"/>
      <c r="I21" s="21" t="e">
        <f t="shared" si="2"/>
        <v>#DIV/0!</v>
      </c>
      <c r="J21" s="21" t="e">
        <f t="shared" si="1"/>
        <v>#DIV/0!</v>
      </c>
    </row>
    <row r="22" spans="1:10" ht="16.5" customHeight="1">
      <c r="A22" s="281"/>
      <c r="B22" s="15">
        <v>80110</v>
      </c>
      <c r="C22" s="19">
        <v>2010</v>
      </c>
      <c r="D22" s="9" t="s">
        <v>60</v>
      </c>
      <c r="E22" s="17"/>
      <c r="F22" s="17"/>
      <c r="G22" s="17"/>
      <c r="H22" s="17"/>
      <c r="I22" s="21" t="e">
        <f t="shared" si="2"/>
        <v>#DIV/0!</v>
      </c>
      <c r="J22" s="21" t="e">
        <f t="shared" si="1"/>
        <v>#DIV/0!</v>
      </c>
    </row>
    <row r="23" spans="1:10" ht="67.5">
      <c r="A23" s="302"/>
      <c r="B23" s="15">
        <v>80150</v>
      </c>
      <c r="C23" s="19">
        <v>2010</v>
      </c>
      <c r="D23" s="9" t="s">
        <v>272</v>
      </c>
      <c r="E23" s="17"/>
      <c r="F23" s="17"/>
      <c r="G23" s="17"/>
      <c r="H23" s="17"/>
      <c r="I23" s="21"/>
      <c r="J23" s="21" t="e">
        <f t="shared" si="1"/>
        <v>#DIV/0!</v>
      </c>
    </row>
    <row r="24" spans="1:10" ht="14.25" customHeight="1">
      <c r="A24" s="285">
        <v>851</v>
      </c>
      <c r="B24" s="15"/>
      <c r="C24" s="19"/>
      <c r="D24" s="7" t="s">
        <v>63</v>
      </c>
      <c r="E24" s="16">
        <f>E25</f>
        <v>0</v>
      </c>
      <c r="F24" s="16">
        <f aca="true" t="shared" si="4" ref="F24:H25">F25</f>
        <v>264</v>
      </c>
      <c r="G24" s="16">
        <f t="shared" si="4"/>
        <v>0</v>
      </c>
      <c r="H24" s="16">
        <f t="shared" si="4"/>
        <v>0</v>
      </c>
      <c r="I24" s="20" t="e">
        <f t="shared" si="2"/>
        <v>#DIV/0!</v>
      </c>
      <c r="J24" s="21" t="e">
        <f t="shared" si="1"/>
        <v>#DIV/0!</v>
      </c>
    </row>
    <row r="25" spans="1:10" ht="11.25" customHeight="1">
      <c r="A25" s="241"/>
      <c r="B25" s="15">
        <v>85195</v>
      </c>
      <c r="C25" s="19"/>
      <c r="D25" s="9" t="s">
        <v>8</v>
      </c>
      <c r="E25" s="17">
        <f>E26</f>
        <v>0</v>
      </c>
      <c r="F25" s="17">
        <f t="shared" si="4"/>
        <v>264</v>
      </c>
      <c r="G25" s="17">
        <f t="shared" si="4"/>
        <v>0</v>
      </c>
      <c r="H25" s="17">
        <f t="shared" si="4"/>
        <v>0</v>
      </c>
      <c r="I25" s="21" t="e">
        <f t="shared" si="2"/>
        <v>#DIV/0!</v>
      </c>
      <c r="J25" s="21" t="e">
        <f t="shared" si="1"/>
        <v>#DIV/0!</v>
      </c>
    </row>
    <row r="26" spans="1:10" ht="22.5">
      <c r="A26" s="242"/>
      <c r="B26" s="15"/>
      <c r="C26" s="19">
        <v>2010</v>
      </c>
      <c r="D26" s="25" t="s">
        <v>68</v>
      </c>
      <c r="E26" s="17"/>
      <c r="F26" s="17">
        <v>264</v>
      </c>
      <c r="G26" s="17"/>
      <c r="H26" s="17"/>
      <c r="I26" s="21" t="e">
        <f t="shared" si="2"/>
        <v>#DIV/0!</v>
      </c>
      <c r="J26" s="21" t="e">
        <f t="shared" si="1"/>
        <v>#DIV/0!</v>
      </c>
    </row>
    <row r="27" spans="1:10" ht="12.75">
      <c r="A27" s="285">
        <v>852</v>
      </c>
      <c r="B27" s="15"/>
      <c r="C27" s="18"/>
      <c r="D27" s="7" t="s">
        <v>128</v>
      </c>
      <c r="E27" s="16">
        <f>E30+E29+E32+E31+E28</f>
        <v>0</v>
      </c>
      <c r="F27" s="16">
        <f>F30+F29+F32+F31+F28</f>
        <v>38128.35</v>
      </c>
      <c r="G27" s="16">
        <f>G30+G29+G32+G31+G28</f>
        <v>0</v>
      </c>
      <c r="H27" s="16">
        <f>H30+H29+H32+H31+H28</f>
        <v>0</v>
      </c>
      <c r="I27" s="20" t="e">
        <f t="shared" si="2"/>
        <v>#DIV/0!</v>
      </c>
      <c r="J27" s="20" t="e">
        <f>(H27/E27)*100</f>
        <v>#DIV/0!</v>
      </c>
    </row>
    <row r="28" spans="1:10" ht="12.75">
      <c r="A28" s="304"/>
      <c r="B28" s="15">
        <v>85211</v>
      </c>
      <c r="C28" s="19">
        <v>2060</v>
      </c>
      <c r="D28" s="7" t="s">
        <v>298</v>
      </c>
      <c r="E28" s="17"/>
      <c r="F28" s="17"/>
      <c r="G28" s="17"/>
      <c r="H28" s="17"/>
      <c r="I28" s="21"/>
      <c r="J28" s="21"/>
    </row>
    <row r="29" spans="1:10" ht="22.5">
      <c r="A29" s="241"/>
      <c r="B29" s="15"/>
      <c r="C29" s="12">
        <v>2010</v>
      </c>
      <c r="D29" s="25" t="s">
        <v>68</v>
      </c>
      <c r="E29" s="17"/>
      <c r="F29" s="17"/>
      <c r="G29" s="17"/>
      <c r="H29" s="17"/>
      <c r="I29" s="21"/>
      <c r="J29" s="21"/>
    </row>
    <row r="30" spans="1:10" ht="33.75">
      <c r="A30" s="241"/>
      <c r="B30" s="15">
        <v>85213</v>
      </c>
      <c r="C30" s="12">
        <v>2010</v>
      </c>
      <c r="D30" s="9" t="s">
        <v>69</v>
      </c>
      <c r="E30" s="17"/>
      <c r="F30" s="17">
        <v>31465</v>
      </c>
      <c r="G30" s="17"/>
      <c r="H30" s="17"/>
      <c r="I30" s="21" t="e">
        <f t="shared" si="2"/>
        <v>#DIV/0!</v>
      </c>
      <c r="J30" s="21" t="e">
        <f>(H30/E30)*100</f>
        <v>#DIV/0!</v>
      </c>
    </row>
    <row r="31" spans="1:10" ht="12.75">
      <c r="A31" s="241"/>
      <c r="B31" s="15">
        <v>85215</v>
      </c>
      <c r="C31" s="12">
        <v>2010</v>
      </c>
      <c r="D31" s="9" t="s">
        <v>257</v>
      </c>
      <c r="E31" s="17"/>
      <c r="F31" s="17">
        <v>6663.35</v>
      </c>
      <c r="G31" s="17"/>
      <c r="H31" s="17"/>
      <c r="I31" s="21" t="e">
        <f t="shared" si="2"/>
        <v>#DIV/0!</v>
      </c>
      <c r="J31" s="21"/>
    </row>
    <row r="32" spans="1:10" ht="22.5">
      <c r="A32" s="241"/>
      <c r="B32" s="15">
        <v>85295</v>
      </c>
      <c r="C32" s="12">
        <v>2010</v>
      </c>
      <c r="D32" s="25" t="s">
        <v>68</v>
      </c>
      <c r="E32" s="17"/>
      <c r="F32" s="17"/>
      <c r="G32" s="17"/>
      <c r="H32" s="17"/>
      <c r="I32" s="21"/>
      <c r="J32" s="21"/>
    </row>
    <row r="33" spans="1:10" ht="12.75">
      <c r="A33" s="280">
        <v>855</v>
      </c>
      <c r="B33" s="15"/>
      <c r="C33" s="12"/>
      <c r="D33" s="7" t="s">
        <v>312</v>
      </c>
      <c r="E33" s="17">
        <f>E34+E35+E36+E37</f>
        <v>0</v>
      </c>
      <c r="F33" s="17">
        <f>F34+F35+F36+F37</f>
        <v>8040997.45</v>
      </c>
      <c r="G33" s="17">
        <f>G34+G35+G36+G37</f>
        <v>0</v>
      </c>
      <c r="H33" s="17">
        <f>H34+H35+H36+H37</f>
        <v>0</v>
      </c>
      <c r="I33" s="21" t="e">
        <f t="shared" si="2"/>
        <v>#DIV/0!</v>
      </c>
      <c r="J33" s="21"/>
    </row>
    <row r="34" spans="1:10" ht="12.75">
      <c r="A34" s="281"/>
      <c r="B34" s="15">
        <v>85501</v>
      </c>
      <c r="C34" s="12">
        <v>2060</v>
      </c>
      <c r="D34" s="7" t="s">
        <v>313</v>
      </c>
      <c r="E34" s="17"/>
      <c r="F34" s="17">
        <v>4659298</v>
      </c>
      <c r="G34" s="17"/>
      <c r="H34" s="17"/>
      <c r="I34" s="21" t="e">
        <f t="shared" si="2"/>
        <v>#DIV/0!</v>
      </c>
      <c r="J34" s="21"/>
    </row>
    <row r="35" spans="1:10" ht="45">
      <c r="A35" s="281"/>
      <c r="B35" s="15">
        <v>85502</v>
      </c>
      <c r="C35" s="12">
        <v>2010</v>
      </c>
      <c r="D35" s="9" t="s">
        <v>314</v>
      </c>
      <c r="E35" s="17"/>
      <c r="F35" s="17">
        <v>3381509</v>
      </c>
      <c r="G35" s="17"/>
      <c r="H35" s="17"/>
      <c r="I35" s="21" t="e">
        <f t="shared" si="2"/>
        <v>#DIV/0!</v>
      </c>
      <c r="J35" s="21"/>
    </row>
    <row r="36" spans="1:10" ht="12.75">
      <c r="A36" s="281"/>
      <c r="B36" s="15">
        <v>85503</v>
      </c>
      <c r="C36" s="12">
        <v>2010</v>
      </c>
      <c r="D36" s="9" t="s">
        <v>316</v>
      </c>
      <c r="E36" s="17"/>
      <c r="F36" s="17">
        <v>190.45</v>
      </c>
      <c r="G36" s="17"/>
      <c r="H36" s="17"/>
      <c r="I36" s="21" t="e">
        <f t="shared" si="2"/>
        <v>#DIV/0!</v>
      </c>
      <c r="J36" s="21"/>
    </row>
    <row r="37" spans="1:10" ht="12.75">
      <c r="A37" s="302"/>
      <c r="B37" s="15">
        <v>85595</v>
      </c>
      <c r="C37" s="12">
        <v>2010</v>
      </c>
      <c r="D37" s="25" t="s">
        <v>8</v>
      </c>
      <c r="E37" s="17"/>
      <c r="F37" s="17"/>
      <c r="G37" s="17"/>
      <c r="H37" s="17"/>
      <c r="I37" s="21"/>
      <c r="J37" s="21"/>
    </row>
    <row r="38" spans="1:10" ht="14.25">
      <c r="A38" s="12"/>
      <c r="B38" s="15"/>
      <c r="C38" s="12"/>
      <c r="D38" s="26" t="s">
        <v>129</v>
      </c>
      <c r="E38" s="16">
        <f>E27+E18+E15+E12+E24+E20+E33</f>
        <v>0</v>
      </c>
      <c r="F38" s="16">
        <f>F27+F18+F15+F12+F24+F20+F33</f>
        <v>8120752.8</v>
      </c>
      <c r="G38" s="16">
        <f>G27+G18+G15+G12+G24+G20+G33</f>
        <v>0</v>
      </c>
      <c r="H38" s="16">
        <f>H27+H18+H15+H12+H24+H20+H33</f>
        <v>0</v>
      </c>
      <c r="I38" s="20" t="e">
        <f t="shared" si="2"/>
        <v>#DIV/0!</v>
      </c>
      <c r="J38" s="20" t="e">
        <f>(H38/E38)*100</f>
        <v>#DIV/0!</v>
      </c>
    </row>
    <row r="40" ht="24" customHeight="1"/>
  </sheetData>
  <sheetProtection/>
  <mergeCells count="19">
    <mergeCell ref="J8:J10"/>
    <mergeCell ref="B1:B10"/>
    <mergeCell ref="C1:C10"/>
    <mergeCell ref="D1:D10"/>
    <mergeCell ref="E1:E7"/>
    <mergeCell ref="F1:J7"/>
    <mergeCell ref="F8:F10"/>
    <mergeCell ref="G8:G10"/>
    <mergeCell ref="E8:E10"/>
    <mergeCell ref="H8:H10"/>
    <mergeCell ref="A33:A37"/>
    <mergeCell ref="I8:I10"/>
    <mergeCell ref="A12:A14"/>
    <mergeCell ref="A18:A19"/>
    <mergeCell ref="A24:A26"/>
    <mergeCell ref="A15:A17"/>
    <mergeCell ref="A1:A10"/>
    <mergeCell ref="A20:A23"/>
    <mergeCell ref="A27:A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2"/>
  <sheetViews>
    <sheetView workbookViewId="0" topLeftCell="A1">
      <selection activeCell="P4" sqref="P4"/>
    </sheetView>
  </sheetViews>
  <sheetFormatPr defaultColWidth="9.140625" defaultRowHeight="12.75"/>
  <cols>
    <col min="1" max="1" width="6.28125" style="37" customWidth="1"/>
    <col min="2" max="2" width="4.57421875" style="37" customWidth="1"/>
    <col min="3" max="3" width="4.140625" style="38" customWidth="1"/>
    <col min="4" max="4" width="18.00390625" style="37" customWidth="1"/>
    <col min="5" max="5" width="10.7109375" style="39" customWidth="1"/>
    <col min="6" max="6" width="11.57421875" style="39" bestFit="1" customWidth="1"/>
    <col min="7" max="7" width="11.421875" style="39" customWidth="1"/>
    <col min="8" max="8" width="10.57421875" style="39" customWidth="1"/>
    <col min="9" max="9" width="11.421875" style="39" bestFit="1" customWidth="1"/>
    <col min="10" max="10" width="5.140625" style="39" customWidth="1"/>
    <col min="11" max="11" width="6.7109375" style="112" customWidth="1"/>
    <col min="12" max="12" width="6.140625" style="39" customWidth="1"/>
    <col min="13" max="16384" width="9.140625" style="37" customWidth="1"/>
  </cols>
  <sheetData>
    <row r="1" ht="12.75">
      <c r="G1" s="39" t="s">
        <v>154</v>
      </c>
    </row>
    <row r="3" spans="1:12" ht="12.75">
      <c r="A3" s="71"/>
      <c r="B3" s="71"/>
      <c r="C3" s="72"/>
      <c r="D3" s="71" t="s">
        <v>282</v>
      </c>
      <c r="E3" s="73">
        <f>E12+E13+E14+E15+E16+E17+E18+E19+E20+E22+E23+E24+E25+E26+E27+E28</f>
        <v>8323865.79</v>
      </c>
      <c r="F3" s="73">
        <f>F12+F13+F14+F15+F16+F17+F18+F19+F20+F22+F23+F24+F25+F26+F27+F28</f>
        <v>8409397</v>
      </c>
      <c r="G3" s="73">
        <f>G12+G13+G14+G15+G16+G17+G18+G19+G20+G22+G23+G24+G25+G26+G27+G28</f>
        <v>0</v>
      </c>
      <c r="H3" s="73">
        <f>H12+H13+H14+H15+H16+H17+H18+H19+H20+H22+H23+H24+H25+H26+H27+H28</f>
        <v>8457298</v>
      </c>
      <c r="I3" s="73">
        <f>I12+I13+I14+I15+I16+I17+I18+I19+I20+I22+I23+I24+I25+I26+I27+I28</f>
        <v>9470198</v>
      </c>
      <c r="J3" s="73" t="e">
        <f>H3/G3*100</f>
        <v>#DIV/0!</v>
      </c>
      <c r="K3" s="113">
        <f>H3/E3*100</f>
        <v>101.60300770538973</v>
      </c>
      <c r="L3" s="74"/>
    </row>
    <row r="4" spans="1:13" ht="56.25" customHeight="1">
      <c r="A4" s="311" t="s">
        <v>85</v>
      </c>
      <c r="B4" s="312" t="s">
        <v>224</v>
      </c>
      <c r="C4" s="313" t="s">
        <v>0</v>
      </c>
      <c r="D4" s="311" t="s">
        <v>1</v>
      </c>
      <c r="E4" s="309" t="s">
        <v>344</v>
      </c>
      <c r="F4" s="314" t="s">
        <v>302</v>
      </c>
      <c r="G4" s="75" t="s">
        <v>4</v>
      </c>
      <c r="H4" s="75" t="s">
        <v>351</v>
      </c>
      <c r="I4" s="75" t="s">
        <v>352</v>
      </c>
      <c r="J4" s="314" t="s">
        <v>222</v>
      </c>
      <c r="K4" s="114" t="s">
        <v>223</v>
      </c>
      <c r="L4" s="308" t="s">
        <v>301</v>
      </c>
      <c r="M4" s="40"/>
    </row>
    <row r="5" spans="1:13" ht="12.75" customHeight="1" hidden="1">
      <c r="A5" s="311"/>
      <c r="B5" s="312"/>
      <c r="C5" s="313"/>
      <c r="D5" s="311"/>
      <c r="E5" s="310"/>
      <c r="F5" s="314"/>
      <c r="G5" s="75"/>
      <c r="H5" s="75"/>
      <c r="I5" s="75"/>
      <c r="J5" s="314"/>
      <c r="K5" s="114"/>
      <c r="L5" s="308"/>
      <c r="M5" s="40"/>
    </row>
    <row r="6" spans="1:12" ht="11.25" customHeight="1">
      <c r="A6" s="76"/>
      <c r="B6" s="76"/>
      <c r="C6" s="77"/>
      <c r="D6" s="76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  <c r="J6" s="79">
        <v>8</v>
      </c>
      <c r="K6" s="169">
        <v>9</v>
      </c>
      <c r="L6" s="79">
        <v>10</v>
      </c>
    </row>
    <row r="7" spans="1:12" s="35" customFormat="1" ht="15.75" customHeight="1">
      <c r="A7" s="315" t="s">
        <v>247</v>
      </c>
      <c r="B7" s="316"/>
      <c r="C7" s="317"/>
      <c r="D7" s="80" t="s">
        <v>151</v>
      </c>
      <c r="E7" s="73">
        <f>E12+E13+E14+E15+E16+E17+E18+E19+E20+E22+E23+E24+E25+E26+E27+E28+E30+E32+E29+E31+E21</f>
        <v>8490343.3</v>
      </c>
      <c r="F7" s="73">
        <f>F12+F13+F14+F15+F16+F17+F18+F19+F20+F22+F23+F24+F25+F26+F27+F28+F30+F32+F29+F31+F21</f>
        <v>8603620.5</v>
      </c>
      <c r="G7" s="73">
        <f>G12+G13+G14+G15+G16+G17+G18+G19+G20+G22+G23+G24+G25+G26+G27+G28+G30+G32+G29+G31+G21</f>
        <v>0</v>
      </c>
      <c r="H7" s="73">
        <f>H12+H13+H14+H15+H16+H17+H18+H19+H20+H22+H23+H24+H25+H26+H27+H28+H30+H32+H29+H31+H21</f>
        <v>8646094.929999998</v>
      </c>
      <c r="I7" s="73">
        <f>I12+I13+I14+I15+I16+I17+I18+I19+I20+I22+I23+I24+I25+I26+I27+I28+I30+I32+I29+I31+I21</f>
        <v>9663830.85</v>
      </c>
      <c r="J7" s="80" t="e">
        <f>H7/G7*100</f>
        <v>#DIV/0!</v>
      </c>
      <c r="K7" s="115">
        <f>H7/E7*100</f>
        <v>101.83445621097556</v>
      </c>
      <c r="L7" s="81">
        <f>H7/H78*100</f>
        <v>40.975873969824704</v>
      </c>
    </row>
    <row r="8" spans="1:12" s="35" customFormat="1" ht="15.75" customHeight="1">
      <c r="A8" s="80"/>
      <c r="B8" s="80"/>
      <c r="C8" s="82"/>
      <c r="D8" s="80" t="s">
        <v>221</v>
      </c>
      <c r="E8" s="73">
        <f>E12+E13+E14+E15+E16+E17+E18+E19+E27</f>
        <v>7168061.44</v>
      </c>
      <c r="F8" s="73">
        <f>F12+F13+F14+F15+F16+F17+F18+F19+F27</f>
        <v>7217397</v>
      </c>
      <c r="G8" s="73">
        <f>G12+G13+G14+G15+G16+G17+G18+G19+G27</f>
        <v>0</v>
      </c>
      <c r="H8" s="73">
        <f>H12+H13+H14+H15+H16+H17+H18+H19+H27</f>
        <v>7324218</v>
      </c>
      <c r="I8" s="73">
        <f>I12+I13+I14+I15+I16+I17+I18+I19+I27</f>
        <v>8223598</v>
      </c>
      <c r="J8" s="80" t="e">
        <f>H8/G8*100</f>
        <v>#DIV/0!</v>
      </c>
      <c r="K8" s="115">
        <f aca="true" t="shared" si="0" ref="K8:K78">H8/E8*100</f>
        <v>102.17850476460202</v>
      </c>
      <c r="L8" s="81">
        <f>H8/H78*100</f>
        <v>34.711188822850644</v>
      </c>
    </row>
    <row r="9" spans="1:12" s="35" customFormat="1" ht="15.75" customHeight="1">
      <c r="A9" s="80"/>
      <c r="B9" s="80"/>
      <c r="C9" s="82"/>
      <c r="D9" s="80" t="s">
        <v>214</v>
      </c>
      <c r="E9" s="73">
        <f>E20+E22+E23+E24+E25+E26+E28+E30+E32+E29+E21+E31</f>
        <v>1322281.86</v>
      </c>
      <c r="F9" s="73">
        <f>F20+F22+F23+F24+F25+F26+F28+F30+F32+F29+F21+F31</f>
        <v>1386223.5</v>
      </c>
      <c r="G9" s="73">
        <f>G20+G22+G23+G24+G25+G26+G28+G30+G32+G29+G21+G31</f>
        <v>0</v>
      </c>
      <c r="H9" s="73">
        <f>H20+H22+H23+H24+H25+H26+H28+H30+H32+H29+H21+H31</f>
        <v>1321876.93</v>
      </c>
      <c r="I9" s="73">
        <f>I20+I22+I23+I24+I25+I26+I28+I30+I32+I29+I21+I31</f>
        <v>1440232.85</v>
      </c>
      <c r="J9" s="80" t="e">
        <f>H9/G9*100</f>
        <v>#DIV/0!</v>
      </c>
      <c r="K9" s="115">
        <f t="shared" si="0"/>
        <v>99.96937642326877</v>
      </c>
      <c r="L9" s="81">
        <f>H9/H78*100</f>
        <v>6.264685146974069</v>
      </c>
    </row>
    <row r="10" spans="1:12" s="35" customFormat="1" ht="15.75" customHeight="1">
      <c r="A10" s="80"/>
      <c r="B10" s="80"/>
      <c r="C10" s="82"/>
      <c r="D10" s="83" t="s">
        <v>215</v>
      </c>
      <c r="E10" s="84">
        <f>SUM(E8:E9)</f>
        <v>8490343.3</v>
      </c>
      <c r="F10" s="84">
        <f>SUM(F8:F9)</f>
        <v>8603620.5</v>
      </c>
      <c r="G10" s="84">
        <f>SUM(G8:G9)</f>
        <v>0</v>
      </c>
      <c r="H10" s="84">
        <f>SUM(H8:H9)</f>
        <v>8646094.93</v>
      </c>
      <c r="I10" s="84">
        <f>SUM(I8:I9)</f>
        <v>9663830.85</v>
      </c>
      <c r="J10" s="83" t="e">
        <f>H10/G10*100</f>
        <v>#DIV/0!</v>
      </c>
      <c r="K10" s="116">
        <f t="shared" si="0"/>
        <v>101.83445621097557</v>
      </c>
      <c r="L10" s="85">
        <f>H10/H78*100</f>
        <v>40.97587396982472</v>
      </c>
    </row>
    <row r="11" spans="1:12" s="35" customFormat="1" ht="24" customHeight="1">
      <c r="A11" s="86" t="s">
        <v>203</v>
      </c>
      <c r="B11" s="306" t="s">
        <v>246</v>
      </c>
      <c r="C11" s="307"/>
      <c r="D11" s="87" t="s">
        <v>185</v>
      </c>
      <c r="E11" s="88">
        <f>E12+E13+E14+E15+E16+E17+E18+E22+E25+E27+E21</f>
        <v>7256217.860000001</v>
      </c>
      <c r="F11" s="88">
        <f>F12+F13+F14+F15+F16+F17+F18+F22+F25+F27+F21</f>
        <v>7307097</v>
      </c>
      <c r="G11" s="88">
        <f>G12+G13+G14+G15+G16+G17+G18+G22+G25+G27+G21</f>
        <v>0</v>
      </c>
      <c r="H11" s="88">
        <f>H12+H13+H14+H15+H16+H17+H18+H22+H25+H27+H21</f>
        <v>7413294.79</v>
      </c>
      <c r="I11" s="88">
        <f>I12+I13+I14+I15+I16+I17+I18+I22+I25+I27+I21</f>
        <v>8322598</v>
      </c>
      <c r="J11" s="89" t="e">
        <f aca="true" t="shared" si="1" ref="J11:J17">(H11/G11)*100</f>
        <v>#DIV/0!</v>
      </c>
      <c r="K11" s="116">
        <f t="shared" si="0"/>
        <v>102.16472180177895</v>
      </c>
      <c r="L11" s="85">
        <f>H11/H78*100</f>
        <v>35.13334464582361</v>
      </c>
    </row>
    <row r="12" spans="1:12" s="35" customFormat="1" ht="25.5" customHeight="1">
      <c r="A12" s="90"/>
      <c r="B12" s="91">
        <v>1</v>
      </c>
      <c r="C12" s="92" t="s">
        <v>110</v>
      </c>
      <c r="D12" s="93" t="s">
        <v>225</v>
      </c>
      <c r="E12" s="88">
        <v>2971669</v>
      </c>
      <c r="F12" s="88">
        <v>2921397</v>
      </c>
      <c r="G12" s="88"/>
      <c r="H12" s="88">
        <v>2930718</v>
      </c>
      <c r="I12" s="88">
        <v>3286794</v>
      </c>
      <c r="J12" s="94" t="e">
        <f t="shared" si="1"/>
        <v>#DIV/0!</v>
      </c>
      <c r="K12" s="117">
        <f t="shared" si="0"/>
        <v>98.62195284871902</v>
      </c>
      <c r="L12" s="85">
        <f>H12/$H$78*100</f>
        <v>13.889360732371319</v>
      </c>
    </row>
    <row r="13" spans="1:12" s="35" customFormat="1" ht="30.75" customHeight="1">
      <c r="A13" s="90"/>
      <c r="B13" s="95">
        <v>2</v>
      </c>
      <c r="C13" s="92" t="s">
        <v>111</v>
      </c>
      <c r="D13" s="93" t="s">
        <v>226</v>
      </c>
      <c r="E13" s="88">
        <v>25116.67</v>
      </c>
      <c r="F13" s="88">
        <v>30000</v>
      </c>
      <c r="G13" s="88"/>
      <c r="H13" s="88">
        <v>22000</v>
      </c>
      <c r="I13" s="88">
        <v>25000</v>
      </c>
      <c r="J13" s="94" t="e">
        <f t="shared" si="1"/>
        <v>#DIV/0!</v>
      </c>
      <c r="K13" s="117">
        <f t="shared" si="0"/>
        <v>87.5912292513299</v>
      </c>
      <c r="L13" s="85">
        <f aca="true" t="shared" si="2" ref="L13:L50">H13/$H$78*100</f>
        <v>0.10426316558337206</v>
      </c>
    </row>
    <row r="14" spans="1:12" ht="15" customHeight="1">
      <c r="A14" s="71"/>
      <c r="B14" s="96">
        <v>3</v>
      </c>
      <c r="C14" s="92" t="s">
        <v>100</v>
      </c>
      <c r="D14" s="140" t="s">
        <v>227</v>
      </c>
      <c r="E14" s="88">
        <v>2155737.99</v>
      </c>
      <c r="F14" s="88">
        <v>2185000</v>
      </c>
      <c r="G14" s="88"/>
      <c r="H14" s="88">
        <v>2550000</v>
      </c>
      <c r="I14" s="88">
        <v>2941704</v>
      </c>
      <c r="J14" s="94" t="e">
        <f t="shared" si="1"/>
        <v>#DIV/0!</v>
      </c>
      <c r="K14" s="117">
        <f t="shared" si="0"/>
        <v>118.28895774110283</v>
      </c>
      <c r="L14" s="85">
        <f t="shared" si="2"/>
        <v>12.085048738072672</v>
      </c>
    </row>
    <row r="15" spans="1:12" ht="15" customHeight="1">
      <c r="A15" s="86"/>
      <c r="B15" s="96">
        <v>4</v>
      </c>
      <c r="C15" s="92" t="s">
        <v>101</v>
      </c>
      <c r="D15" s="86" t="s">
        <v>228</v>
      </c>
      <c r="E15" s="88">
        <v>1604700</v>
      </c>
      <c r="F15" s="88">
        <v>1658000</v>
      </c>
      <c r="G15" s="88"/>
      <c r="H15" s="88">
        <v>1451000</v>
      </c>
      <c r="I15" s="88">
        <v>1555000</v>
      </c>
      <c r="J15" s="94" t="e">
        <f t="shared" si="1"/>
        <v>#DIV/0!</v>
      </c>
      <c r="K15" s="117">
        <f t="shared" si="0"/>
        <v>90.42188571072475</v>
      </c>
      <c r="L15" s="85">
        <f t="shared" si="2"/>
        <v>6.876629693703312</v>
      </c>
    </row>
    <row r="16" spans="1:12" ht="12.75">
      <c r="A16" s="86"/>
      <c r="B16" s="96">
        <v>5</v>
      </c>
      <c r="C16" s="92" t="s">
        <v>102</v>
      </c>
      <c r="D16" s="86" t="s">
        <v>232</v>
      </c>
      <c r="E16" s="88">
        <v>114496.87</v>
      </c>
      <c r="F16" s="88">
        <v>114000</v>
      </c>
      <c r="G16" s="88"/>
      <c r="H16" s="88">
        <v>115000</v>
      </c>
      <c r="I16" s="88">
        <v>124000</v>
      </c>
      <c r="J16" s="94" t="e">
        <f t="shared" si="1"/>
        <v>#DIV/0!</v>
      </c>
      <c r="K16" s="117">
        <f t="shared" si="0"/>
        <v>100.43942685944167</v>
      </c>
      <c r="L16" s="85">
        <f t="shared" si="2"/>
        <v>0.5450120019130813</v>
      </c>
    </row>
    <row r="17" spans="1:12" ht="23.25" customHeight="1">
      <c r="A17" s="86"/>
      <c r="B17" s="96">
        <v>6</v>
      </c>
      <c r="C17" s="92" t="s">
        <v>103</v>
      </c>
      <c r="D17" s="97" t="s">
        <v>229</v>
      </c>
      <c r="E17" s="88">
        <v>112392.61</v>
      </c>
      <c r="F17" s="88">
        <v>124000</v>
      </c>
      <c r="G17" s="88"/>
      <c r="H17" s="88">
        <v>120000</v>
      </c>
      <c r="I17" s="88">
        <v>135000</v>
      </c>
      <c r="J17" s="94" t="e">
        <f t="shared" si="1"/>
        <v>#DIV/0!</v>
      </c>
      <c r="K17" s="117">
        <f t="shared" si="0"/>
        <v>106.76858558583166</v>
      </c>
      <c r="L17" s="85">
        <f t="shared" si="2"/>
        <v>0.5687081759093022</v>
      </c>
    </row>
    <row r="18" spans="1:12" ht="27" customHeight="1">
      <c r="A18" s="86"/>
      <c r="B18" s="96">
        <v>7</v>
      </c>
      <c r="C18" s="92" t="s">
        <v>98</v>
      </c>
      <c r="D18" s="97" t="s">
        <v>230</v>
      </c>
      <c r="E18" s="88">
        <v>7054.05</v>
      </c>
      <c r="F18" s="88">
        <v>7000</v>
      </c>
      <c r="G18" s="88"/>
      <c r="H18" s="88">
        <v>4500</v>
      </c>
      <c r="I18" s="88">
        <v>5000</v>
      </c>
      <c r="J18" s="94" t="e">
        <f aca="true" t="shared" si="3" ref="J18:J24">(H18/G18)*100</f>
        <v>#DIV/0!</v>
      </c>
      <c r="K18" s="117">
        <f t="shared" si="0"/>
        <v>63.793140111000056</v>
      </c>
      <c r="L18" s="85">
        <f t="shared" si="2"/>
        <v>0.021326556596598833</v>
      </c>
    </row>
    <row r="19" spans="1:12" ht="24" customHeight="1">
      <c r="A19" s="86"/>
      <c r="B19" s="96">
        <v>8</v>
      </c>
      <c r="C19" s="92" t="s">
        <v>106</v>
      </c>
      <c r="D19" s="97" t="s">
        <v>149</v>
      </c>
      <c r="E19" s="88">
        <v>6163.8</v>
      </c>
      <c r="F19" s="88">
        <v>6500</v>
      </c>
      <c r="G19" s="88"/>
      <c r="H19" s="88">
        <v>1000</v>
      </c>
      <c r="I19" s="88">
        <v>1100</v>
      </c>
      <c r="J19" s="94" t="e">
        <f t="shared" si="3"/>
        <v>#DIV/0!</v>
      </c>
      <c r="K19" s="117">
        <f t="shared" si="0"/>
        <v>16.22375807131964</v>
      </c>
      <c r="L19" s="85">
        <f t="shared" si="2"/>
        <v>0.004739234799244185</v>
      </c>
    </row>
    <row r="20" spans="1:12" ht="15" customHeight="1">
      <c r="A20" s="86"/>
      <c r="B20" s="96">
        <v>9</v>
      </c>
      <c r="C20" s="92" t="s">
        <v>107</v>
      </c>
      <c r="D20" s="97" t="s">
        <v>150</v>
      </c>
      <c r="E20" s="88">
        <v>4920</v>
      </c>
      <c r="F20" s="88">
        <v>5000</v>
      </c>
      <c r="G20" s="88"/>
      <c r="H20" s="88">
        <v>4200</v>
      </c>
      <c r="I20" s="88">
        <v>5000</v>
      </c>
      <c r="J20" s="94" t="e">
        <f t="shared" si="3"/>
        <v>#DIV/0!</v>
      </c>
      <c r="K20" s="117">
        <f t="shared" si="0"/>
        <v>85.36585365853658</v>
      </c>
      <c r="L20" s="85">
        <f t="shared" si="2"/>
        <v>0.019904786156825578</v>
      </c>
    </row>
    <row r="21" spans="1:12" ht="22.5">
      <c r="A21" s="86"/>
      <c r="B21" s="96"/>
      <c r="C21" s="92" t="s">
        <v>320</v>
      </c>
      <c r="D21" s="97" t="s">
        <v>324</v>
      </c>
      <c r="E21" s="88">
        <v>77.82</v>
      </c>
      <c r="F21" s="88">
        <v>100</v>
      </c>
      <c r="G21" s="88"/>
      <c r="H21" s="88">
        <v>76.79</v>
      </c>
      <c r="I21" s="88">
        <v>100</v>
      </c>
      <c r="J21" s="94" t="e">
        <f t="shared" si="3"/>
        <v>#DIV/0!</v>
      </c>
      <c r="K21" s="117">
        <f t="shared" si="0"/>
        <v>98.67643279362633</v>
      </c>
      <c r="L21" s="85">
        <f t="shared" si="2"/>
        <v>0.000363925840233961</v>
      </c>
    </row>
    <row r="22" spans="1:12" ht="25.5" customHeight="1">
      <c r="A22" s="86"/>
      <c r="B22" s="96">
        <v>10</v>
      </c>
      <c r="C22" s="92" t="s">
        <v>109</v>
      </c>
      <c r="D22" s="97" t="s">
        <v>206</v>
      </c>
      <c r="E22" s="88">
        <v>26278</v>
      </c>
      <c r="F22" s="88">
        <v>26100</v>
      </c>
      <c r="G22" s="88"/>
      <c r="H22" s="88">
        <v>30000</v>
      </c>
      <c r="I22" s="88">
        <v>35000</v>
      </c>
      <c r="J22" s="94" t="e">
        <f t="shared" si="3"/>
        <v>#DIV/0!</v>
      </c>
      <c r="K22" s="117">
        <f t="shared" si="0"/>
        <v>114.16393941700282</v>
      </c>
      <c r="L22" s="85">
        <f t="shared" si="2"/>
        <v>0.14217704397732556</v>
      </c>
    </row>
    <row r="23" spans="1:12" ht="11.25" customHeight="1">
      <c r="A23" s="86"/>
      <c r="B23" s="96">
        <v>11</v>
      </c>
      <c r="C23" s="92" t="s">
        <v>108</v>
      </c>
      <c r="D23" s="97" t="s">
        <v>207</v>
      </c>
      <c r="E23" s="88">
        <v>6451</v>
      </c>
      <c r="F23" s="88">
        <v>6500</v>
      </c>
      <c r="G23" s="88"/>
      <c r="H23" s="88">
        <v>4500</v>
      </c>
      <c r="I23" s="88">
        <v>5000</v>
      </c>
      <c r="J23" s="94" t="e">
        <f t="shared" si="3"/>
        <v>#DIV/0!</v>
      </c>
      <c r="K23" s="117">
        <f t="shared" si="0"/>
        <v>69.75662687955356</v>
      </c>
      <c r="L23" s="85">
        <f t="shared" si="2"/>
        <v>0.021326556596598833</v>
      </c>
    </row>
    <row r="24" spans="1:12" ht="15" customHeight="1">
      <c r="A24" s="86"/>
      <c r="B24" s="96">
        <v>12</v>
      </c>
      <c r="C24" s="92" t="s">
        <v>104</v>
      </c>
      <c r="D24" s="97" t="s">
        <v>208</v>
      </c>
      <c r="E24" s="88">
        <v>545.06</v>
      </c>
      <c r="F24" s="88">
        <v>600</v>
      </c>
      <c r="G24" s="88"/>
      <c r="H24" s="88">
        <v>900</v>
      </c>
      <c r="I24" s="88">
        <v>1000</v>
      </c>
      <c r="J24" s="94" t="e">
        <f t="shared" si="3"/>
        <v>#DIV/0!</v>
      </c>
      <c r="K24" s="117">
        <f t="shared" si="0"/>
        <v>165.1194363923238</v>
      </c>
      <c r="L24" s="85">
        <f t="shared" si="2"/>
        <v>0.004265311319319767</v>
      </c>
    </row>
    <row r="25" spans="1:12" ht="24" customHeight="1">
      <c r="A25" s="86"/>
      <c r="B25" s="96">
        <v>13</v>
      </c>
      <c r="C25" s="92" t="s">
        <v>120</v>
      </c>
      <c r="D25" s="93" t="s">
        <v>126</v>
      </c>
      <c r="E25" s="88">
        <v>67964.4</v>
      </c>
      <c r="F25" s="88">
        <v>70000</v>
      </c>
      <c r="G25" s="88"/>
      <c r="H25" s="88">
        <v>60000</v>
      </c>
      <c r="I25" s="88">
        <v>65000</v>
      </c>
      <c r="J25" s="94" t="e">
        <f aca="true" t="shared" si="4" ref="J25:J34">(H25/G25)*100</f>
        <v>#DIV/0!</v>
      </c>
      <c r="K25" s="117">
        <f t="shared" si="0"/>
        <v>88.28151208573901</v>
      </c>
      <c r="L25" s="85">
        <f>H25/$H$78*100</f>
        <v>0.2843540879546511</v>
      </c>
    </row>
    <row r="26" spans="1:12" ht="22.5" customHeight="1">
      <c r="A26" s="86"/>
      <c r="B26" s="96">
        <v>14</v>
      </c>
      <c r="C26" s="92" t="s">
        <v>89</v>
      </c>
      <c r="D26" s="97" t="s">
        <v>231</v>
      </c>
      <c r="E26" s="88">
        <v>1047509.6</v>
      </c>
      <c r="F26" s="88">
        <v>1080300</v>
      </c>
      <c r="G26" s="88"/>
      <c r="H26" s="88">
        <v>1000480</v>
      </c>
      <c r="I26" s="88">
        <v>1100600</v>
      </c>
      <c r="J26" s="94" t="e">
        <f t="shared" si="4"/>
        <v>#DIV/0!</v>
      </c>
      <c r="K26" s="117">
        <f t="shared" si="0"/>
        <v>95.51034186226074</v>
      </c>
      <c r="L26" s="85">
        <f t="shared" si="2"/>
        <v>4.741509631947823</v>
      </c>
    </row>
    <row r="27" spans="1:12" ht="19.5" customHeight="1">
      <c r="A27" s="86"/>
      <c r="B27" s="96">
        <v>15</v>
      </c>
      <c r="C27" s="92" t="s">
        <v>105</v>
      </c>
      <c r="D27" s="97" t="s">
        <v>209</v>
      </c>
      <c r="E27" s="88">
        <v>170730.45</v>
      </c>
      <c r="F27" s="88">
        <v>171500</v>
      </c>
      <c r="G27" s="88"/>
      <c r="H27" s="88">
        <v>130000</v>
      </c>
      <c r="I27" s="88">
        <v>150000</v>
      </c>
      <c r="J27" s="94" t="e">
        <f t="shared" si="4"/>
        <v>#DIV/0!</v>
      </c>
      <c r="K27" s="117">
        <f t="shared" si="0"/>
        <v>76.14341788474171</v>
      </c>
      <c r="L27" s="85">
        <f t="shared" si="2"/>
        <v>0.616100523901744</v>
      </c>
    </row>
    <row r="28" spans="1:12" ht="33" customHeight="1">
      <c r="A28" s="86"/>
      <c r="B28" s="96">
        <v>16</v>
      </c>
      <c r="C28" s="92" t="s">
        <v>92</v>
      </c>
      <c r="D28" s="97" t="s">
        <v>210</v>
      </c>
      <c r="E28" s="88">
        <v>2136.29</v>
      </c>
      <c r="F28" s="88">
        <v>3500</v>
      </c>
      <c r="G28" s="88"/>
      <c r="H28" s="88">
        <v>33000</v>
      </c>
      <c r="I28" s="88">
        <v>35000</v>
      </c>
      <c r="J28" s="94" t="e">
        <f t="shared" si="4"/>
        <v>#DIV/0!</v>
      </c>
      <c r="K28" s="117">
        <f t="shared" si="0"/>
        <v>1544.7340950900862</v>
      </c>
      <c r="L28" s="85">
        <f t="shared" si="2"/>
        <v>0.1563947483750581</v>
      </c>
    </row>
    <row r="29" spans="1:12" ht="33" customHeight="1">
      <c r="A29" s="86"/>
      <c r="B29" s="96">
        <v>17</v>
      </c>
      <c r="C29" s="92" t="s">
        <v>288</v>
      </c>
      <c r="D29" s="97" t="s">
        <v>295</v>
      </c>
      <c r="E29" s="88">
        <v>48021.75</v>
      </c>
      <c r="F29" s="88">
        <v>48000</v>
      </c>
      <c r="G29" s="88"/>
      <c r="H29" s="88">
        <v>50000</v>
      </c>
      <c r="I29" s="88">
        <v>55000</v>
      </c>
      <c r="J29" s="94" t="e">
        <f t="shared" si="4"/>
        <v>#DIV/0!</v>
      </c>
      <c r="K29" s="117">
        <f t="shared" si="0"/>
        <v>104.1194875238824</v>
      </c>
      <c r="L29" s="85">
        <f t="shared" si="2"/>
        <v>0.23696173996220923</v>
      </c>
    </row>
    <row r="30" spans="1:12" ht="28.5" customHeight="1">
      <c r="A30" s="86">
        <v>851</v>
      </c>
      <c r="B30" s="96">
        <v>18</v>
      </c>
      <c r="C30" s="82" t="s">
        <v>113</v>
      </c>
      <c r="D30" s="87" t="s">
        <v>211</v>
      </c>
      <c r="E30" s="73">
        <v>116025.19</v>
      </c>
      <c r="F30" s="73">
        <v>116000</v>
      </c>
      <c r="G30" s="73"/>
      <c r="H30" s="73">
        <v>119485.04</v>
      </c>
      <c r="I30" s="73">
        <v>116159.11</v>
      </c>
      <c r="J30" s="74" t="e">
        <f t="shared" si="4"/>
        <v>#DIV/0!</v>
      </c>
      <c r="K30" s="113">
        <f t="shared" si="0"/>
        <v>102.9819817575821</v>
      </c>
      <c r="L30" s="85">
        <f t="shared" si="2"/>
        <v>0.5662676595570835</v>
      </c>
    </row>
    <row r="31" spans="1:12" ht="28.5" customHeight="1">
      <c r="A31" s="86"/>
      <c r="B31" s="63">
        <v>19</v>
      </c>
      <c r="C31" s="159" t="s">
        <v>323</v>
      </c>
      <c r="D31" s="160" t="s">
        <v>333</v>
      </c>
      <c r="E31" s="136"/>
      <c r="F31" s="136"/>
      <c r="G31" s="136"/>
      <c r="H31" s="136">
        <v>6300.4</v>
      </c>
      <c r="I31" s="136">
        <v>7323.74</v>
      </c>
      <c r="J31" s="94" t="e">
        <f t="shared" si="4"/>
        <v>#DIV/0!</v>
      </c>
      <c r="K31" s="117"/>
      <c r="L31" s="85">
        <f t="shared" si="2"/>
        <v>0.02985907492915806</v>
      </c>
    </row>
    <row r="32" spans="1:12" ht="28.5" customHeight="1">
      <c r="A32" s="86"/>
      <c r="B32" s="96">
        <v>20</v>
      </c>
      <c r="C32" s="77" t="s">
        <v>95</v>
      </c>
      <c r="D32" s="98" t="s">
        <v>212</v>
      </c>
      <c r="E32" s="88">
        <v>2352.75</v>
      </c>
      <c r="F32" s="88">
        <v>30123.5</v>
      </c>
      <c r="G32" s="88"/>
      <c r="H32" s="88">
        <v>12934.7</v>
      </c>
      <c r="I32" s="88">
        <v>15050</v>
      </c>
      <c r="J32" s="99" t="e">
        <f t="shared" si="4"/>
        <v>#DIV/0!</v>
      </c>
      <c r="K32" s="117">
        <f t="shared" si="0"/>
        <v>549.7694187652746</v>
      </c>
      <c r="L32" s="85">
        <f t="shared" si="2"/>
        <v>0.06130058035778376</v>
      </c>
    </row>
    <row r="33" spans="1:12" ht="34.5" customHeight="1">
      <c r="A33" s="98">
        <v>700</v>
      </c>
      <c r="B33" s="86"/>
      <c r="C33" s="92"/>
      <c r="D33" s="87" t="s">
        <v>220</v>
      </c>
      <c r="E33" s="73">
        <f>E34+E35+E36</f>
        <v>129018.88</v>
      </c>
      <c r="F33" s="73">
        <f>F34+F35+F36</f>
        <v>169000</v>
      </c>
      <c r="G33" s="73">
        <f>G34+G35+G36</f>
        <v>0</v>
      </c>
      <c r="H33" s="73">
        <f>H34+H35+H36</f>
        <v>80305</v>
      </c>
      <c r="I33" s="73">
        <f>I34+I35+I36</f>
        <v>601000</v>
      </c>
      <c r="J33" s="74" t="e">
        <f t="shared" si="4"/>
        <v>#DIV/0!</v>
      </c>
      <c r="K33" s="113">
        <f t="shared" si="0"/>
        <v>62.242828336441924</v>
      </c>
      <c r="L33" s="85">
        <f t="shared" si="2"/>
        <v>0.38058425055330425</v>
      </c>
    </row>
    <row r="34" spans="1:12" ht="47.25" customHeight="1">
      <c r="A34" s="86"/>
      <c r="B34" s="86"/>
      <c r="C34" s="92" t="s">
        <v>142</v>
      </c>
      <c r="D34" s="36" t="s">
        <v>156</v>
      </c>
      <c r="E34" s="88">
        <v>127018.88</v>
      </c>
      <c r="F34" s="88">
        <v>168000</v>
      </c>
      <c r="G34" s="88"/>
      <c r="H34" s="88">
        <v>80000</v>
      </c>
      <c r="I34" s="88">
        <v>600000</v>
      </c>
      <c r="J34" s="94" t="e">
        <f t="shared" si="4"/>
        <v>#DIV/0!</v>
      </c>
      <c r="K34" s="117">
        <f t="shared" si="0"/>
        <v>62.9827628774557</v>
      </c>
      <c r="L34" s="85">
        <f t="shared" si="2"/>
        <v>0.3791387839395348</v>
      </c>
    </row>
    <row r="35" spans="1:12" ht="67.5">
      <c r="A35" s="86"/>
      <c r="B35" s="86"/>
      <c r="C35" s="92" t="s">
        <v>258</v>
      </c>
      <c r="D35" s="36" t="s">
        <v>270</v>
      </c>
      <c r="E35" s="88"/>
      <c r="F35" s="88">
        <v>1000</v>
      </c>
      <c r="G35" s="88"/>
      <c r="H35" s="88">
        <v>305</v>
      </c>
      <c r="I35" s="88">
        <v>1000</v>
      </c>
      <c r="J35" s="94"/>
      <c r="K35" s="117"/>
      <c r="L35" s="85">
        <f>H35/$H$78*100</f>
        <v>0.0014454666137694765</v>
      </c>
    </row>
    <row r="36" spans="1:12" ht="22.5">
      <c r="A36" s="86"/>
      <c r="B36" s="86"/>
      <c r="C36" s="92" t="s">
        <v>345</v>
      </c>
      <c r="D36" s="164" t="s">
        <v>348</v>
      </c>
      <c r="E36" s="88">
        <v>2000</v>
      </c>
      <c r="F36" s="88"/>
      <c r="G36" s="88"/>
      <c r="H36" s="88"/>
      <c r="I36" s="88"/>
      <c r="J36" s="94"/>
      <c r="K36" s="117"/>
      <c r="L36" s="85"/>
    </row>
    <row r="37" spans="1:12" ht="16.5" customHeight="1">
      <c r="A37" s="86"/>
      <c r="B37" s="86"/>
      <c r="C37" s="72"/>
      <c r="D37" s="100" t="s">
        <v>213</v>
      </c>
      <c r="E37" s="163"/>
      <c r="F37" s="163"/>
      <c r="G37" s="163"/>
      <c r="H37" s="163"/>
      <c r="I37" s="163"/>
      <c r="J37" s="74"/>
      <c r="K37" s="113"/>
      <c r="L37" s="85">
        <f t="shared" si="2"/>
        <v>0</v>
      </c>
    </row>
    <row r="38" spans="1:12" ht="24" customHeight="1">
      <c r="A38" s="86"/>
      <c r="B38" s="86"/>
      <c r="C38" s="77"/>
      <c r="D38" s="87" t="s">
        <v>233</v>
      </c>
      <c r="E38" s="73">
        <f>E39+E40+E41+E42+E43+E46+E47+E48+E50+E44+E45+E49</f>
        <v>951887.24</v>
      </c>
      <c r="F38" s="73">
        <f>F39+F40+F41+F42+F43+F46+F47+F48+F50+F44+F45+F49</f>
        <v>1105351.71</v>
      </c>
      <c r="G38" s="73">
        <f>G39+G40+G41+G42+G43+G46+G47+G48+G50+G44+G45+G49</f>
        <v>0</v>
      </c>
      <c r="H38" s="73">
        <f>H39+H40+H41+H42+H43+H46+H47+H48+H50+H44+H45+H49</f>
        <v>655066.83</v>
      </c>
      <c r="I38" s="73">
        <f>I39+I40+I41+I42+I43+I46+I47+I48+I50+I44+I45+I49</f>
        <v>924439.1399999999</v>
      </c>
      <c r="J38" s="74" t="e">
        <f>(H38/G38)*100</f>
        <v>#DIV/0!</v>
      </c>
      <c r="K38" s="113">
        <f t="shared" si="0"/>
        <v>68.8176921039513</v>
      </c>
      <c r="L38" s="85">
        <f t="shared" si="2"/>
        <v>3.1045155165665745</v>
      </c>
    </row>
    <row r="39" spans="1:12" ht="24" customHeight="1">
      <c r="A39" s="86"/>
      <c r="B39" s="86"/>
      <c r="C39" s="77" t="s">
        <v>91</v>
      </c>
      <c r="D39" s="101" t="s">
        <v>186</v>
      </c>
      <c r="E39" s="102">
        <v>115298.49</v>
      </c>
      <c r="F39" s="102">
        <v>108860</v>
      </c>
      <c r="G39" s="102"/>
      <c r="H39" s="102">
        <v>133606.13</v>
      </c>
      <c r="I39" s="102">
        <v>199700</v>
      </c>
      <c r="J39" s="94" t="e">
        <f>H39/G39*100</f>
        <v>#DIV/0!</v>
      </c>
      <c r="K39" s="117">
        <f t="shared" si="0"/>
        <v>115.87847334340631</v>
      </c>
      <c r="L39" s="85">
        <f t="shared" si="2"/>
        <v>0.6331908206883425</v>
      </c>
    </row>
    <row r="40" spans="1:12" ht="24" customHeight="1">
      <c r="A40" s="86"/>
      <c r="B40" s="86"/>
      <c r="C40" s="77" t="s">
        <v>96</v>
      </c>
      <c r="D40" s="98" t="s">
        <v>235</v>
      </c>
      <c r="E40" s="88">
        <v>634459.32</v>
      </c>
      <c r="F40" s="88">
        <v>837953.46</v>
      </c>
      <c r="G40" s="88"/>
      <c r="H40" s="88">
        <v>512454.5</v>
      </c>
      <c r="I40" s="88">
        <v>584848.83</v>
      </c>
      <c r="J40" s="94" t="e">
        <f aca="true" t="shared" si="5" ref="J40:J50">(H40/G40)*100</f>
        <v>#DIV/0!</v>
      </c>
      <c r="K40" s="117">
        <f t="shared" si="0"/>
        <v>80.77026908517949</v>
      </c>
      <c r="L40" s="85">
        <f t="shared" si="2"/>
        <v>2.4286421994292793</v>
      </c>
    </row>
    <row r="41" spans="1:12" ht="24" customHeight="1">
      <c r="A41" s="86"/>
      <c r="B41" s="86"/>
      <c r="C41" s="77" t="s">
        <v>97</v>
      </c>
      <c r="D41" s="98" t="s">
        <v>236</v>
      </c>
      <c r="E41" s="88">
        <v>79732.73</v>
      </c>
      <c r="F41" s="88">
        <v>8000</v>
      </c>
      <c r="G41" s="88"/>
      <c r="H41" s="88">
        <v>9000</v>
      </c>
      <c r="I41" s="88">
        <v>10000</v>
      </c>
      <c r="J41" s="94" t="e">
        <f t="shared" si="5"/>
        <v>#DIV/0!</v>
      </c>
      <c r="K41" s="117">
        <f t="shared" si="0"/>
        <v>11.287710830922258</v>
      </c>
      <c r="L41" s="85">
        <f t="shared" si="2"/>
        <v>0.042653113193197666</v>
      </c>
    </row>
    <row r="42" spans="1:12" ht="33" customHeight="1">
      <c r="A42" s="86"/>
      <c r="B42" s="86"/>
      <c r="C42" s="77" t="s">
        <v>99</v>
      </c>
      <c r="D42" s="101" t="s">
        <v>238</v>
      </c>
      <c r="E42" s="102">
        <v>55426.13</v>
      </c>
      <c r="F42" s="102">
        <v>57500</v>
      </c>
      <c r="G42" s="102"/>
      <c r="H42" s="102"/>
      <c r="I42" s="102">
        <v>44000</v>
      </c>
      <c r="J42" s="94" t="e">
        <f t="shared" si="5"/>
        <v>#DIV/0!</v>
      </c>
      <c r="K42" s="117">
        <f t="shared" si="0"/>
        <v>0</v>
      </c>
      <c r="L42" s="85">
        <f t="shared" si="2"/>
        <v>0</v>
      </c>
    </row>
    <row r="43" spans="1:12" ht="18.75" customHeight="1">
      <c r="A43" s="86"/>
      <c r="B43" s="86"/>
      <c r="C43" s="77" t="s">
        <v>93</v>
      </c>
      <c r="D43" s="101" t="s">
        <v>237</v>
      </c>
      <c r="E43" s="102">
        <v>9046.81</v>
      </c>
      <c r="F43" s="102">
        <v>6489.98</v>
      </c>
      <c r="G43" s="102"/>
      <c r="H43" s="102"/>
      <c r="I43" s="102">
        <v>21378.87</v>
      </c>
      <c r="J43" s="94" t="e">
        <f t="shared" si="5"/>
        <v>#DIV/0!</v>
      </c>
      <c r="K43" s="117">
        <f t="shared" si="0"/>
        <v>0</v>
      </c>
      <c r="L43" s="85">
        <f t="shared" si="2"/>
        <v>0</v>
      </c>
    </row>
    <row r="44" spans="1:12" ht="33.75">
      <c r="A44" s="86"/>
      <c r="B44" s="86"/>
      <c r="C44" s="77" t="s">
        <v>325</v>
      </c>
      <c r="D44" s="101" t="s">
        <v>330</v>
      </c>
      <c r="E44" s="102"/>
      <c r="F44" s="102"/>
      <c r="G44" s="102"/>
      <c r="H44" s="102"/>
      <c r="I44" s="102">
        <v>3660</v>
      </c>
      <c r="J44" s="94" t="e">
        <f t="shared" si="5"/>
        <v>#DIV/0!</v>
      </c>
      <c r="K44" s="117"/>
      <c r="L44" s="85">
        <f t="shared" si="2"/>
        <v>0</v>
      </c>
    </row>
    <row r="45" spans="1:12" ht="45">
      <c r="A45" s="86"/>
      <c r="B45" s="86"/>
      <c r="C45" s="77" t="s">
        <v>94</v>
      </c>
      <c r="D45" s="101" t="s">
        <v>331</v>
      </c>
      <c r="E45" s="102">
        <v>1500</v>
      </c>
      <c r="F45" s="102"/>
      <c r="G45" s="102"/>
      <c r="H45" s="102"/>
      <c r="I45" s="102">
        <v>18000</v>
      </c>
      <c r="J45" s="94"/>
      <c r="K45" s="117"/>
      <c r="L45" s="85">
        <f t="shared" si="2"/>
        <v>0</v>
      </c>
    </row>
    <row r="46" spans="1:18" ht="20.25" customHeight="1">
      <c r="A46" s="86"/>
      <c r="B46" s="86"/>
      <c r="C46" s="77" t="s">
        <v>90</v>
      </c>
      <c r="D46" s="101" t="s">
        <v>239</v>
      </c>
      <c r="E46" s="102">
        <v>34708.01</v>
      </c>
      <c r="F46" s="102">
        <v>44518.19</v>
      </c>
      <c r="G46" s="102"/>
      <c r="H46" s="102"/>
      <c r="I46" s="102">
        <v>42801.44</v>
      </c>
      <c r="J46" s="94" t="e">
        <f t="shared" si="5"/>
        <v>#DIV/0!</v>
      </c>
      <c r="K46" s="117">
        <f t="shared" si="0"/>
        <v>0</v>
      </c>
      <c r="L46" s="85">
        <f t="shared" si="2"/>
        <v>0</v>
      </c>
      <c r="M46" s="48"/>
      <c r="N46" s="48"/>
      <c r="O46" s="48"/>
      <c r="P46" s="48"/>
      <c r="Q46" s="48"/>
      <c r="R46" s="48"/>
    </row>
    <row r="47" spans="1:18" ht="45">
      <c r="A47" s="86"/>
      <c r="B47" s="86"/>
      <c r="C47" s="77" t="s">
        <v>187</v>
      </c>
      <c r="D47" s="101" t="s">
        <v>250</v>
      </c>
      <c r="E47" s="102"/>
      <c r="F47" s="102">
        <v>18708.08</v>
      </c>
      <c r="G47" s="102"/>
      <c r="H47" s="102"/>
      <c r="I47" s="102"/>
      <c r="J47" s="94" t="e">
        <f t="shared" si="5"/>
        <v>#DIV/0!</v>
      </c>
      <c r="K47" s="117" t="e">
        <f t="shared" si="0"/>
        <v>#DIV/0!</v>
      </c>
      <c r="L47" s="85">
        <f t="shared" si="2"/>
        <v>0</v>
      </c>
      <c r="M47" s="48"/>
      <c r="N47" s="48"/>
      <c r="O47" s="48"/>
      <c r="P47" s="48"/>
      <c r="Q47" s="48"/>
      <c r="R47" s="48"/>
    </row>
    <row r="48" spans="1:18" ht="33" customHeight="1">
      <c r="A48" s="86"/>
      <c r="B48" s="86"/>
      <c r="C48" s="77" t="s">
        <v>158</v>
      </c>
      <c r="D48" s="97" t="s">
        <v>240</v>
      </c>
      <c r="E48" s="103">
        <v>20364.36</v>
      </c>
      <c r="F48" s="88">
        <v>20022</v>
      </c>
      <c r="G48" s="88"/>
      <c r="H48" s="88">
        <v>6.2</v>
      </c>
      <c r="I48" s="88">
        <v>50</v>
      </c>
      <c r="J48" s="94" t="e">
        <f t="shared" si="5"/>
        <v>#DIV/0!</v>
      </c>
      <c r="K48" s="117">
        <f t="shared" si="0"/>
        <v>0.03044534667428782</v>
      </c>
      <c r="L48" s="85">
        <f t="shared" si="2"/>
        <v>2.938325575531395E-05</v>
      </c>
      <c r="M48" s="48"/>
      <c r="N48" s="48"/>
      <c r="O48" s="48"/>
      <c r="P48" s="48"/>
      <c r="Q48" s="48"/>
      <c r="R48" s="48"/>
    </row>
    <row r="49" spans="1:18" ht="67.5">
      <c r="A49" s="86"/>
      <c r="B49" s="86"/>
      <c r="C49" s="77" t="s">
        <v>347</v>
      </c>
      <c r="D49" s="97" t="s">
        <v>349</v>
      </c>
      <c r="E49" s="103">
        <v>62.39</v>
      </c>
      <c r="F49" s="88"/>
      <c r="G49" s="88"/>
      <c r="H49" s="88"/>
      <c r="I49" s="88"/>
      <c r="J49" s="94"/>
      <c r="K49" s="117"/>
      <c r="L49" s="85"/>
      <c r="M49" s="48"/>
      <c r="N49" s="48"/>
      <c r="O49" s="48"/>
      <c r="P49" s="48"/>
      <c r="Q49" s="48"/>
      <c r="R49" s="48"/>
    </row>
    <row r="50" spans="1:18" ht="49.5" customHeight="1">
      <c r="A50" s="86"/>
      <c r="B50" s="86"/>
      <c r="C50" s="77" t="s">
        <v>200</v>
      </c>
      <c r="D50" s="98" t="s">
        <v>241</v>
      </c>
      <c r="E50" s="104">
        <v>1289</v>
      </c>
      <c r="F50" s="104">
        <v>3300</v>
      </c>
      <c r="G50" s="104"/>
      <c r="H50" s="104"/>
      <c r="I50" s="104"/>
      <c r="J50" s="105" t="e">
        <f t="shared" si="5"/>
        <v>#DIV/0!</v>
      </c>
      <c r="K50" s="117">
        <f t="shared" si="0"/>
        <v>0</v>
      </c>
      <c r="L50" s="85">
        <f t="shared" si="2"/>
        <v>0</v>
      </c>
      <c r="M50" s="48"/>
      <c r="N50" s="48"/>
      <c r="O50" s="48"/>
      <c r="P50" s="48"/>
      <c r="Q50" s="48"/>
      <c r="R50" s="48"/>
    </row>
    <row r="51" spans="1:12" ht="48.75" customHeight="1">
      <c r="A51" s="86"/>
      <c r="B51" s="86"/>
      <c r="C51" s="71"/>
      <c r="D51" s="87" t="s">
        <v>234</v>
      </c>
      <c r="E51" s="73">
        <f>E38+E33+E7</f>
        <v>9571249.420000002</v>
      </c>
      <c r="F51" s="73">
        <f>F38+F33+F7</f>
        <v>9877972.21</v>
      </c>
      <c r="G51" s="73">
        <f>G38+G33+G7</f>
        <v>0</v>
      </c>
      <c r="H51" s="73">
        <f>H38+H33+H7</f>
        <v>9381466.759999998</v>
      </c>
      <c r="I51" s="73">
        <f>I38+I33+I7</f>
        <v>11189269.99</v>
      </c>
      <c r="J51" s="74" t="e">
        <f aca="true" t="shared" si="6" ref="J51:J63">(H51/G51)*100</f>
        <v>#DIV/0!</v>
      </c>
      <c r="K51" s="113">
        <f t="shared" si="0"/>
        <v>98.01715897609526</v>
      </c>
      <c r="L51" s="85">
        <f>H51/$H$78*100</f>
        <v>44.46097373694459</v>
      </c>
    </row>
    <row r="52" spans="1:12" ht="33" customHeight="1">
      <c r="A52" s="86"/>
      <c r="B52" s="86"/>
      <c r="C52" s="82"/>
      <c r="D52" s="106" t="s">
        <v>159</v>
      </c>
      <c r="E52" s="73">
        <f>E53+E54</f>
        <v>9255756.129999999</v>
      </c>
      <c r="F52" s="73">
        <f>F53+F54</f>
        <v>10110827.69</v>
      </c>
      <c r="G52" s="73">
        <f>G53+G54</f>
        <v>0</v>
      </c>
      <c r="H52" s="73">
        <f>H53+H54</f>
        <v>500994</v>
      </c>
      <c r="I52" s="73">
        <f>I53+I54</f>
        <v>11550157.01</v>
      </c>
      <c r="J52" s="74" t="e">
        <f t="shared" si="6"/>
        <v>#DIV/0!</v>
      </c>
      <c r="K52" s="113">
        <f t="shared" si="0"/>
        <v>5.412783061301336</v>
      </c>
      <c r="L52" s="85">
        <f>H52/$H$78*100</f>
        <v>2.3743281990125413</v>
      </c>
    </row>
    <row r="53" spans="1:12" ht="33" customHeight="1">
      <c r="A53" s="86"/>
      <c r="B53" s="86"/>
      <c r="C53" s="82"/>
      <c r="D53" s="106" t="s">
        <v>216</v>
      </c>
      <c r="E53" s="73">
        <f>E59+E60+E61+E64+E66+E67+E65+E68</f>
        <v>9223309.129999999</v>
      </c>
      <c r="F53" s="73">
        <f>F59+F60+F61+F64+F66+F67+F65+F68</f>
        <v>10019376.24</v>
      </c>
      <c r="G53" s="73">
        <f>G59+G60+G61+G64+G66+G67+G65+G68</f>
        <v>0</v>
      </c>
      <c r="H53" s="73">
        <f>H59+H60+H61+H64+H66+H67+H65+H68</f>
        <v>500994</v>
      </c>
      <c r="I53" s="73">
        <f>I59+I60+I61+I64+I66+I67+I65+I68</f>
        <v>9288545.74</v>
      </c>
      <c r="J53" s="74" t="e">
        <f t="shared" si="6"/>
        <v>#DIV/0!</v>
      </c>
      <c r="K53" s="113">
        <f t="shared" si="0"/>
        <v>5.431824879103885</v>
      </c>
      <c r="L53" s="85">
        <f aca="true" t="shared" si="7" ref="L53:L63">H53/$H$78*100</f>
        <v>2.3743281990125413</v>
      </c>
    </row>
    <row r="54" spans="1:12" ht="33" customHeight="1">
      <c r="A54" s="86"/>
      <c r="B54" s="86"/>
      <c r="C54" s="82"/>
      <c r="D54" s="106" t="s">
        <v>287</v>
      </c>
      <c r="E54" s="73">
        <f>E57+E56+E55</f>
        <v>32447</v>
      </c>
      <c r="F54" s="73">
        <f>F57+F56+F55</f>
        <v>91451.45</v>
      </c>
      <c r="G54" s="73">
        <f>G57+G56+G55</f>
        <v>0</v>
      </c>
      <c r="H54" s="73">
        <f>H57+H56+H55</f>
        <v>0</v>
      </c>
      <c r="I54" s="73">
        <f>I57+I56+I55</f>
        <v>2261611.27</v>
      </c>
      <c r="J54" s="73">
        <f>J57</f>
        <v>0</v>
      </c>
      <c r="K54" s="73">
        <f>K57</f>
        <v>0</v>
      </c>
      <c r="L54" s="85">
        <f t="shared" si="7"/>
        <v>0</v>
      </c>
    </row>
    <row r="55" spans="1:12" ht="90">
      <c r="A55" s="140"/>
      <c r="B55" s="140"/>
      <c r="C55" s="134" t="s">
        <v>346</v>
      </c>
      <c r="D55" s="135" t="s">
        <v>350</v>
      </c>
      <c r="E55" s="136">
        <v>12447</v>
      </c>
      <c r="F55" s="136"/>
      <c r="G55" s="136"/>
      <c r="H55" s="136"/>
      <c r="I55" s="136"/>
      <c r="J55" s="136"/>
      <c r="K55" s="136"/>
      <c r="L55" s="94"/>
    </row>
    <row r="56" spans="1:12" ht="93" customHeight="1">
      <c r="A56" s="86"/>
      <c r="B56" s="86"/>
      <c r="C56" s="134" t="s">
        <v>291</v>
      </c>
      <c r="D56" s="135" t="s">
        <v>296</v>
      </c>
      <c r="E56" s="73"/>
      <c r="F56" s="136">
        <v>51451.45</v>
      </c>
      <c r="G56" s="73"/>
      <c r="H56" s="73"/>
      <c r="I56" s="73">
        <v>2261611.27</v>
      </c>
      <c r="J56" s="73"/>
      <c r="K56" s="73"/>
      <c r="L56" s="85">
        <f t="shared" si="7"/>
        <v>0</v>
      </c>
    </row>
    <row r="57" spans="1:12" ht="75" customHeight="1">
      <c r="A57" s="86"/>
      <c r="B57" s="86"/>
      <c r="C57" s="134" t="s">
        <v>262</v>
      </c>
      <c r="D57" s="9" t="s">
        <v>263</v>
      </c>
      <c r="E57" s="136">
        <v>20000</v>
      </c>
      <c r="F57" s="136">
        <v>40000</v>
      </c>
      <c r="G57" s="136"/>
      <c r="H57" s="136"/>
      <c r="I57" s="136"/>
      <c r="J57" s="74"/>
      <c r="K57" s="113"/>
      <c r="L57" s="85">
        <f t="shared" si="7"/>
        <v>0</v>
      </c>
    </row>
    <row r="58" spans="1:12" ht="18" customHeight="1">
      <c r="A58" s="86"/>
      <c r="B58" s="86"/>
      <c r="C58" s="82"/>
      <c r="D58" s="107" t="s">
        <v>217</v>
      </c>
      <c r="E58" s="84">
        <f>SUM(E53:E54)</f>
        <v>9255756.129999999</v>
      </c>
      <c r="F58" s="84">
        <f>SUM(F53:F54)</f>
        <v>10110827.69</v>
      </c>
      <c r="G58" s="84">
        <f>SUM(G53:G54)</f>
        <v>0</v>
      </c>
      <c r="H58" s="84">
        <f>SUM(H53:H54)</f>
        <v>500994</v>
      </c>
      <c r="I58" s="84">
        <f>SUM(I53:I54)</f>
        <v>11550157.01</v>
      </c>
      <c r="J58" s="108" t="e">
        <f t="shared" si="6"/>
        <v>#DIV/0!</v>
      </c>
      <c r="K58" s="117">
        <f t="shared" si="0"/>
        <v>5.412783061301336</v>
      </c>
      <c r="L58" s="85">
        <f t="shared" si="7"/>
        <v>2.3743281990125413</v>
      </c>
    </row>
    <row r="59" spans="1:12" ht="12" customHeight="1">
      <c r="A59" s="86"/>
      <c r="B59" s="86"/>
      <c r="C59" s="92" t="s">
        <v>112</v>
      </c>
      <c r="D59" s="97" t="s">
        <v>160</v>
      </c>
      <c r="E59" s="88">
        <v>975399.94</v>
      </c>
      <c r="F59" s="88">
        <v>863788.88</v>
      </c>
      <c r="G59" s="88"/>
      <c r="H59" s="88">
        <v>249561</v>
      </c>
      <c r="I59" s="88">
        <v>473094.17</v>
      </c>
      <c r="J59" s="94" t="e">
        <f t="shared" si="6"/>
        <v>#DIV/0!</v>
      </c>
      <c r="K59" s="117">
        <f t="shared" si="0"/>
        <v>25.585504957074328</v>
      </c>
      <c r="L59" s="85">
        <f t="shared" si="7"/>
        <v>1.1827281757341779</v>
      </c>
    </row>
    <row r="60" spans="1:12" ht="33.75">
      <c r="A60" s="86"/>
      <c r="B60" s="86"/>
      <c r="C60" s="92" t="s">
        <v>264</v>
      </c>
      <c r="D60" s="97" t="s">
        <v>271</v>
      </c>
      <c r="E60" s="88">
        <v>5361.9</v>
      </c>
      <c r="F60" s="88"/>
      <c r="G60" s="88"/>
      <c r="H60" s="88"/>
      <c r="I60" s="88"/>
      <c r="J60" s="94"/>
      <c r="K60" s="117"/>
      <c r="L60" s="85">
        <f t="shared" si="7"/>
        <v>0</v>
      </c>
    </row>
    <row r="61" spans="1:12" ht="35.25" customHeight="1">
      <c r="A61" s="86"/>
      <c r="B61" s="86"/>
      <c r="C61" s="92" t="s">
        <v>161</v>
      </c>
      <c r="D61" s="97" t="s">
        <v>162</v>
      </c>
      <c r="E61" s="88"/>
      <c r="F61" s="88">
        <v>945618.56</v>
      </c>
      <c r="G61" s="88"/>
      <c r="H61" s="88"/>
      <c r="I61" s="88">
        <v>115014.2</v>
      </c>
      <c r="J61" s="94" t="e">
        <f t="shared" si="6"/>
        <v>#DIV/0!</v>
      </c>
      <c r="K61" s="117" t="e">
        <f t="shared" si="0"/>
        <v>#DIV/0!</v>
      </c>
      <c r="L61" s="85">
        <f t="shared" si="7"/>
        <v>0</v>
      </c>
    </row>
    <row r="62" spans="1:12" ht="17.25" customHeight="1">
      <c r="A62" s="86"/>
      <c r="B62" s="90"/>
      <c r="C62" s="119" t="s">
        <v>191</v>
      </c>
      <c r="D62" s="101" t="s">
        <v>252</v>
      </c>
      <c r="E62" s="102"/>
      <c r="F62" s="102">
        <v>929969.53</v>
      </c>
      <c r="G62" s="102"/>
      <c r="H62" s="102"/>
      <c r="I62" s="102">
        <v>115014.2</v>
      </c>
      <c r="J62" s="120" t="e">
        <f t="shared" si="6"/>
        <v>#DIV/0!</v>
      </c>
      <c r="K62" s="121" t="e">
        <f t="shared" si="0"/>
        <v>#DIV/0!</v>
      </c>
      <c r="L62" s="85">
        <f t="shared" si="7"/>
        <v>0</v>
      </c>
    </row>
    <row r="63" spans="1:12" ht="21.75" customHeight="1">
      <c r="A63" s="86"/>
      <c r="B63" s="90"/>
      <c r="C63" s="119" t="s">
        <v>152</v>
      </c>
      <c r="D63" s="101" t="s">
        <v>253</v>
      </c>
      <c r="E63" s="102"/>
      <c r="F63" s="102">
        <v>15649.03</v>
      </c>
      <c r="G63" s="102"/>
      <c r="H63" s="102"/>
      <c r="I63" s="102"/>
      <c r="J63" s="120" t="e">
        <f t="shared" si="6"/>
        <v>#DIV/0!</v>
      </c>
      <c r="K63" s="121" t="e">
        <f t="shared" si="0"/>
        <v>#DIV/0!</v>
      </c>
      <c r="L63" s="85">
        <f t="shared" si="7"/>
        <v>0</v>
      </c>
    </row>
    <row r="64" spans="1:12" ht="21.75" customHeight="1">
      <c r="A64" s="86"/>
      <c r="B64" s="86"/>
      <c r="C64" s="92" t="s">
        <v>117</v>
      </c>
      <c r="D64" s="97" t="s">
        <v>242</v>
      </c>
      <c r="E64" s="88">
        <v>4320335.52</v>
      </c>
      <c r="F64" s="88">
        <v>3461454.8</v>
      </c>
      <c r="G64" s="88"/>
      <c r="H64" s="88">
        <v>78133</v>
      </c>
      <c r="I64" s="88">
        <v>3739753.37</v>
      </c>
      <c r="J64" s="94" t="e">
        <f aca="true" t="shared" si="8" ref="J64:J88">(H64/G64)*100</f>
        <v>#DIV/0!</v>
      </c>
      <c r="K64" s="117">
        <f t="shared" si="0"/>
        <v>1.8084937995741592</v>
      </c>
      <c r="L64" s="85">
        <f>H64/$H$78*100</f>
        <v>0.3702906325693459</v>
      </c>
    </row>
    <row r="65" spans="1:12" ht="45">
      <c r="A65" s="86"/>
      <c r="B65" s="86"/>
      <c r="C65" s="92" t="s">
        <v>293</v>
      </c>
      <c r="D65" s="97" t="s">
        <v>297</v>
      </c>
      <c r="E65" s="88">
        <v>3771778.37</v>
      </c>
      <c r="F65" s="88">
        <v>4659298</v>
      </c>
      <c r="G65" s="88"/>
      <c r="H65" s="88"/>
      <c r="I65" s="88">
        <v>4887384</v>
      </c>
      <c r="J65" s="94" t="e">
        <f t="shared" si="8"/>
        <v>#DIV/0!</v>
      </c>
      <c r="K65" s="117">
        <f t="shared" si="0"/>
        <v>0</v>
      </c>
      <c r="L65" s="85">
        <f aca="true" t="shared" si="9" ref="L65:L82">H65/$H$78*100</f>
        <v>0</v>
      </c>
    </row>
    <row r="66" spans="1:12" ht="31.5" customHeight="1">
      <c r="A66" s="86"/>
      <c r="B66" s="86"/>
      <c r="C66" s="92" t="s">
        <v>119</v>
      </c>
      <c r="D66" s="97" t="s">
        <v>243</v>
      </c>
      <c r="E66" s="88">
        <v>67553</v>
      </c>
      <c r="F66" s="88">
        <v>5000</v>
      </c>
      <c r="G66" s="88"/>
      <c r="H66" s="88">
        <v>103300</v>
      </c>
      <c r="I66" s="88">
        <v>3300</v>
      </c>
      <c r="J66" s="94" t="e">
        <f t="shared" si="8"/>
        <v>#DIV/0!</v>
      </c>
      <c r="K66" s="117">
        <f t="shared" si="0"/>
        <v>152.9169688984945</v>
      </c>
      <c r="L66" s="85">
        <f t="shared" si="9"/>
        <v>0.4895629547619243</v>
      </c>
    </row>
    <row r="67" spans="1:12" ht="46.5" customHeight="1">
      <c r="A67" s="86"/>
      <c r="B67" s="86"/>
      <c r="C67" s="109" t="s">
        <v>163</v>
      </c>
      <c r="D67" s="97" t="s">
        <v>245</v>
      </c>
      <c r="E67" s="88">
        <v>82880.4</v>
      </c>
      <c r="F67" s="88">
        <v>84216</v>
      </c>
      <c r="G67" s="88"/>
      <c r="H67" s="88">
        <v>70000</v>
      </c>
      <c r="I67" s="88">
        <v>70000</v>
      </c>
      <c r="J67" s="94" t="e">
        <f t="shared" si="8"/>
        <v>#DIV/0!</v>
      </c>
      <c r="K67" s="117">
        <f t="shared" si="0"/>
        <v>84.45905183855291</v>
      </c>
      <c r="L67" s="85">
        <f t="shared" si="9"/>
        <v>0.33174643594709297</v>
      </c>
    </row>
    <row r="68" spans="1:12" ht="92.25" customHeight="1">
      <c r="A68" s="86"/>
      <c r="B68" s="86"/>
      <c r="C68" s="109" t="s">
        <v>327</v>
      </c>
      <c r="D68" s="97" t="s">
        <v>332</v>
      </c>
      <c r="E68" s="88"/>
      <c r="F68" s="88"/>
      <c r="G68" s="88"/>
      <c r="H68" s="88"/>
      <c r="I68" s="88"/>
      <c r="J68" s="94" t="e">
        <f t="shared" si="8"/>
        <v>#DIV/0!</v>
      </c>
      <c r="K68" s="117"/>
      <c r="L68" s="85">
        <f t="shared" si="9"/>
        <v>0</v>
      </c>
    </row>
    <row r="69" spans="1:12" ht="27" customHeight="1">
      <c r="A69" s="86"/>
      <c r="B69" s="86"/>
      <c r="C69" s="92"/>
      <c r="D69" s="87" t="s">
        <v>164</v>
      </c>
      <c r="E69" s="73">
        <f>E72+E70</f>
        <v>94054.09</v>
      </c>
      <c r="F69" s="73">
        <f>F72+F70</f>
        <v>4199759.62</v>
      </c>
      <c r="G69" s="73">
        <f>G72+G70</f>
        <v>0</v>
      </c>
      <c r="H69" s="73">
        <f>H72+H70</f>
        <v>0</v>
      </c>
      <c r="I69" s="73">
        <f>I72+I70</f>
        <v>6671458.93</v>
      </c>
      <c r="J69" s="74" t="e">
        <f t="shared" si="8"/>
        <v>#DIV/0!</v>
      </c>
      <c r="K69" s="113">
        <f t="shared" si="0"/>
        <v>0</v>
      </c>
      <c r="L69" s="85">
        <f t="shared" si="9"/>
        <v>0</v>
      </c>
    </row>
    <row r="70" spans="1:12" ht="23.25" customHeight="1">
      <c r="A70" s="86"/>
      <c r="B70" s="86"/>
      <c r="C70" s="92"/>
      <c r="D70" s="87" t="s">
        <v>283</v>
      </c>
      <c r="E70" s="73">
        <f>E71</f>
        <v>0</v>
      </c>
      <c r="F70" s="73">
        <f>F71</f>
        <v>0</v>
      </c>
      <c r="G70" s="73">
        <f>G71</f>
        <v>0</v>
      </c>
      <c r="H70" s="73">
        <f>H71</f>
        <v>0</v>
      </c>
      <c r="I70" s="73">
        <f>I71</f>
        <v>0</v>
      </c>
      <c r="J70" s="74" t="e">
        <f>(H70/G70)*100</f>
        <v>#DIV/0!</v>
      </c>
      <c r="K70" s="113"/>
      <c r="L70" s="85">
        <f t="shared" si="9"/>
        <v>0</v>
      </c>
    </row>
    <row r="71" spans="1:12" ht="78.75" customHeight="1">
      <c r="A71" s="86"/>
      <c r="B71" s="86"/>
      <c r="C71" s="92" t="s">
        <v>248</v>
      </c>
      <c r="D71" s="135" t="s">
        <v>249</v>
      </c>
      <c r="E71" s="136"/>
      <c r="F71" s="136"/>
      <c r="G71" s="136"/>
      <c r="H71" s="136"/>
      <c r="I71" s="136"/>
      <c r="J71" s="94" t="e">
        <f>(H71/G71)*100</f>
        <v>#DIV/0!</v>
      </c>
      <c r="K71" s="117"/>
      <c r="L71" s="85">
        <f t="shared" si="9"/>
        <v>0</v>
      </c>
    </row>
    <row r="72" spans="1:12" ht="20.25" customHeight="1">
      <c r="A72" s="86"/>
      <c r="B72" s="86"/>
      <c r="C72" s="92"/>
      <c r="D72" s="87" t="s">
        <v>284</v>
      </c>
      <c r="E72" s="73">
        <f>E73</f>
        <v>94054.09</v>
      </c>
      <c r="F72" s="73">
        <f>F73</f>
        <v>4199759.62</v>
      </c>
      <c r="G72" s="73">
        <f>G73</f>
        <v>0</v>
      </c>
      <c r="H72" s="73">
        <f>H73</f>
        <v>0</v>
      </c>
      <c r="I72" s="73">
        <f>I73</f>
        <v>6671458.93</v>
      </c>
      <c r="J72" s="74" t="e">
        <f t="shared" si="8"/>
        <v>#DIV/0!</v>
      </c>
      <c r="K72" s="113">
        <f t="shared" si="0"/>
        <v>0</v>
      </c>
      <c r="L72" s="85">
        <f t="shared" si="9"/>
        <v>0</v>
      </c>
    </row>
    <row r="73" spans="1:12" ht="46.5" customHeight="1">
      <c r="A73" s="86"/>
      <c r="B73" s="86"/>
      <c r="C73" s="109" t="s">
        <v>254</v>
      </c>
      <c r="D73" s="97" t="s">
        <v>244</v>
      </c>
      <c r="E73" s="88">
        <v>94054.09</v>
      </c>
      <c r="F73" s="88">
        <v>4199759.62</v>
      </c>
      <c r="G73" s="88"/>
      <c r="H73" s="88"/>
      <c r="I73" s="88">
        <v>6671458.93</v>
      </c>
      <c r="J73" s="94" t="e">
        <f t="shared" si="8"/>
        <v>#DIV/0!</v>
      </c>
      <c r="K73" s="117">
        <f t="shared" si="0"/>
        <v>0</v>
      </c>
      <c r="L73" s="85">
        <f t="shared" si="9"/>
        <v>0</v>
      </c>
    </row>
    <row r="74" spans="1:12" ht="14.25" customHeight="1">
      <c r="A74" s="86"/>
      <c r="B74" s="122"/>
      <c r="C74" s="32" t="s">
        <v>193</v>
      </c>
      <c r="D74" s="101" t="s">
        <v>252</v>
      </c>
      <c r="E74" s="102"/>
      <c r="F74" s="102">
        <v>4199759.62</v>
      </c>
      <c r="G74" s="102"/>
      <c r="H74" s="102"/>
      <c r="I74" s="102">
        <v>6671458.93</v>
      </c>
      <c r="J74" s="120" t="e">
        <f t="shared" si="8"/>
        <v>#DIV/0!</v>
      </c>
      <c r="K74" s="121" t="e">
        <f t="shared" si="0"/>
        <v>#DIV/0!</v>
      </c>
      <c r="L74" s="85">
        <f t="shared" si="9"/>
        <v>0</v>
      </c>
    </row>
    <row r="75" spans="1:12" ht="46.5" customHeight="1">
      <c r="A75" s="86"/>
      <c r="B75" s="122"/>
      <c r="C75" s="32" t="s">
        <v>265</v>
      </c>
      <c r="D75" s="97" t="s">
        <v>244</v>
      </c>
      <c r="E75" s="102"/>
      <c r="F75" s="102"/>
      <c r="G75" s="102"/>
      <c r="H75" s="102"/>
      <c r="I75" s="102"/>
      <c r="J75" s="120"/>
      <c r="K75" s="121"/>
      <c r="L75" s="85">
        <f t="shared" si="9"/>
        <v>0</v>
      </c>
    </row>
    <row r="76" spans="1:12" ht="19.5" customHeight="1">
      <c r="A76" s="86"/>
      <c r="B76" s="86"/>
      <c r="C76" s="92" t="s">
        <v>115</v>
      </c>
      <c r="D76" s="80" t="s">
        <v>169</v>
      </c>
      <c r="E76" s="73">
        <v>11022538</v>
      </c>
      <c r="F76" s="73">
        <v>10769123</v>
      </c>
      <c r="G76" s="73"/>
      <c r="H76" s="73">
        <v>11217992</v>
      </c>
      <c r="I76" s="73">
        <v>11578397</v>
      </c>
      <c r="J76" s="74" t="e">
        <f t="shared" si="8"/>
        <v>#DIV/0!</v>
      </c>
      <c r="K76" s="113">
        <f t="shared" si="0"/>
        <v>101.77322137605695</v>
      </c>
      <c r="L76" s="85">
        <f t="shared" si="9"/>
        <v>53.16469806404287</v>
      </c>
    </row>
    <row r="77" spans="1:12" ht="24.75" customHeight="1">
      <c r="A77" s="86"/>
      <c r="B77" s="86"/>
      <c r="C77" s="82"/>
      <c r="D77" s="110" t="s">
        <v>165</v>
      </c>
      <c r="E77" s="84">
        <v>7268063</v>
      </c>
      <c r="F77" s="84">
        <v>7213535</v>
      </c>
      <c r="G77" s="84"/>
      <c r="H77" s="84">
        <v>7690349</v>
      </c>
      <c r="I77" s="84">
        <v>7544070</v>
      </c>
      <c r="J77" s="94" t="e">
        <f t="shared" si="8"/>
        <v>#DIV/0!</v>
      </c>
      <c r="K77" s="117">
        <f t="shared" si="0"/>
        <v>105.81015877270188</v>
      </c>
      <c r="L77" s="85">
        <f>H77/$H$78*100</f>
        <v>36.446369599132716</v>
      </c>
    </row>
    <row r="78" spans="1:12" ht="31.5" customHeight="1">
      <c r="A78" s="86"/>
      <c r="B78" s="86"/>
      <c r="C78" s="82"/>
      <c r="D78" s="111" t="s">
        <v>166</v>
      </c>
      <c r="E78" s="73">
        <f>E51+E52+E69+E76</f>
        <v>29943597.64</v>
      </c>
      <c r="F78" s="73">
        <f>F51+F52+F69+F76</f>
        <v>34957682.519999996</v>
      </c>
      <c r="G78" s="73">
        <f>G51+G52+G69+G76</f>
        <v>0</v>
      </c>
      <c r="H78" s="73">
        <f>H51+H52+H69+H76</f>
        <v>21100452.759999998</v>
      </c>
      <c r="I78" s="73">
        <f>I51+I52+I69+I76</f>
        <v>40989282.93</v>
      </c>
      <c r="J78" s="74" t="e">
        <f t="shared" si="8"/>
        <v>#DIV/0!</v>
      </c>
      <c r="K78" s="113">
        <f t="shared" si="0"/>
        <v>70.46732665086665</v>
      </c>
      <c r="L78" s="85">
        <f t="shared" si="9"/>
        <v>100</v>
      </c>
    </row>
    <row r="79" spans="1:12" ht="23.25" customHeight="1">
      <c r="A79" s="86"/>
      <c r="B79" s="86"/>
      <c r="C79" s="82"/>
      <c r="D79" s="97" t="s">
        <v>167</v>
      </c>
      <c r="E79" s="88">
        <f>E73+E54+E33</f>
        <v>255519.97</v>
      </c>
      <c r="F79" s="88">
        <f>F73+F54+F33</f>
        <v>4460211.07</v>
      </c>
      <c r="G79" s="88">
        <f>G73+G54+G33</f>
        <v>0</v>
      </c>
      <c r="H79" s="88">
        <f>H73+H54+H33</f>
        <v>80305</v>
      </c>
      <c r="I79" s="88">
        <f>I73+I54+I33</f>
        <v>9534070.2</v>
      </c>
      <c r="J79" s="94" t="e">
        <f t="shared" si="8"/>
        <v>#DIV/0!</v>
      </c>
      <c r="K79" s="117">
        <f aca="true" t="shared" si="10" ref="K79:K88">H79/E79*100</f>
        <v>31.428071942870062</v>
      </c>
      <c r="L79" s="85">
        <f t="shared" si="9"/>
        <v>0.38058425055330425</v>
      </c>
    </row>
    <row r="80" spans="1:12" ht="15" customHeight="1">
      <c r="A80" s="86"/>
      <c r="B80" s="86"/>
      <c r="C80" s="82"/>
      <c r="D80" s="123" t="s">
        <v>285</v>
      </c>
      <c r="E80" s="88">
        <f>E78-E79</f>
        <v>29688077.67</v>
      </c>
      <c r="F80" s="88">
        <f>F78-F79</f>
        <v>30497471.449999996</v>
      </c>
      <c r="G80" s="88">
        <f>G78-G79</f>
        <v>0</v>
      </c>
      <c r="H80" s="88">
        <f>H78-H79</f>
        <v>21020147.759999998</v>
      </c>
      <c r="I80" s="88">
        <f>I78-I79</f>
        <v>31455212.73</v>
      </c>
      <c r="J80" s="94" t="e">
        <f t="shared" si="8"/>
        <v>#DIV/0!</v>
      </c>
      <c r="K80" s="117">
        <f t="shared" si="10"/>
        <v>70.80333052766497</v>
      </c>
      <c r="L80" s="85">
        <f t="shared" si="9"/>
        <v>99.61941574944669</v>
      </c>
    </row>
    <row r="81" spans="1:12" ht="15" customHeight="1">
      <c r="A81" s="86"/>
      <c r="B81" s="86"/>
      <c r="C81" s="82"/>
      <c r="D81" s="155" t="s">
        <v>286</v>
      </c>
      <c r="E81" s="137">
        <f>E51-E33+E53+E70+E76</f>
        <v>29688077.67</v>
      </c>
      <c r="F81" s="137">
        <f>F51-F33+F53+F70+F76</f>
        <v>30497471.450000003</v>
      </c>
      <c r="G81" s="137">
        <f>G51-G33+G53+G70+G76</f>
        <v>0</v>
      </c>
      <c r="H81" s="137">
        <f>H51-H33+H53+H70+H76</f>
        <v>21020147.759999998</v>
      </c>
      <c r="I81" s="137">
        <f>I51-I33+I53+I70+I76</f>
        <v>31455212.73</v>
      </c>
      <c r="J81" s="138" t="e">
        <f t="shared" si="8"/>
        <v>#DIV/0!</v>
      </c>
      <c r="K81" s="139">
        <f t="shared" si="10"/>
        <v>70.80333052766497</v>
      </c>
      <c r="L81" s="85">
        <f t="shared" si="9"/>
        <v>99.61941574944669</v>
      </c>
    </row>
    <row r="82" spans="1:12" ht="12.75">
      <c r="A82" s="86"/>
      <c r="B82" s="86"/>
      <c r="C82" s="82"/>
      <c r="D82" s="86" t="s">
        <v>168</v>
      </c>
      <c r="E82" s="88">
        <f>E79+E80</f>
        <v>29943597.64</v>
      </c>
      <c r="F82" s="88">
        <f>F79+F80</f>
        <v>34957682.519999996</v>
      </c>
      <c r="G82" s="88">
        <f>G79+G80</f>
        <v>0</v>
      </c>
      <c r="H82" s="88">
        <f>H79+H80</f>
        <v>21100452.759999998</v>
      </c>
      <c r="I82" s="88">
        <f>I79+I80</f>
        <v>40989282.93</v>
      </c>
      <c r="J82" s="94" t="e">
        <f t="shared" si="8"/>
        <v>#DIV/0!</v>
      </c>
      <c r="K82" s="117">
        <f t="shared" si="10"/>
        <v>70.46732665086665</v>
      </c>
      <c r="L82" s="85">
        <f t="shared" si="9"/>
        <v>100</v>
      </c>
    </row>
    <row r="83" spans="1:12" ht="12.75">
      <c r="A83" s="49"/>
      <c r="B83" s="49"/>
      <c r="C83" s="67"/>
      <c r="D83" s="49"/>
      <c r="E83" s="68"/>
      <c r="F83" s="68"/>
      <c r="G83" s="68"/>
      <c r="H83" s="68"/>
      <c r="I83" s="68"/>
      <c r="J83" s="44"/>
      <c r="K83" s="118"/>
      <c r="L83" s="44"/>
    </row>
    <row r="84" spans="1:12" ht="12.75">
      <c r="A84" s="49"/>
      <c r="B84" s="49"/>
      <c r="C84" s="67"/>
      <c r="D84" s="49"/>
      <c r="E84" s="68"/>
      <c r="F84" s="68"/>
      <c r="G84" s="68"/>
      <c r="H84" s="68"/>
      <c r="I84" s="68"/>
      <c r="J84" s="44"/>
      <c r="K84" s="118"/>
      <c r="L84" s="44"/>
    </row>
    <row r="85" spans="1:12" ht="12.75">
      <c r="A85" s="49"/>
      <c r="B85" s="49"/>
      <c r="C85" s="67"/>
      <c r="D85" s="49"/>
      <c r="E85" s="68"/>
      <c r="F85" s="68"/>
      <c r="G85" s="68"/>
      <c r="H85" s="68"/>
      <c r="I85" s="68"/>
      <c r="J85" s="44"/>
      <c r="K85" s="118"/>
      <c r="L85" s="44"/>
    </row>
    <row r="86" spans="1:12" ht="12.75">
      <c r="A86" s="49"/>
      <c r="B86" s="49"/>
      <c r="C86" s="67"/>
      <c r="D86" s="49"/>
      <c r="E86" s="68"/>
      <c r="F86" s="68"/>
      <c r="G86" s="68"/>
      <c r="H86" s="68"/>
      <c r="I86" s="68"/>
      <c r="J86" s="44"/>
      <c r="K86" s="118"/>
      <c r="L86" s="44"/>
    </row>
    <row r="87" spans="4:12" ht="12.75">
      <c r="D87" s="48" t="s">
        <v>218</v>
      </c>
      <c r="E87" s="62">
        <f>E33+E54+E69</f>
        <v>255519.97</v>
      </c>
      <c r="F87" s="62">
        <f>F33+F54+F69</f>
        <v>4460211.07</v>
      </c>
      <c r="G87" s="62">
        <f>G33+G54+G69</f>
        <v>0</v>
      </c>
      <c r="H87" s="62">
        <f>H33+H54+H69</f>
        <v>80305</v>
      </c>
      <c r="I87" s="62"/>
      <c r="J87" s="44" t="e">
        <f t="shared" si="8"/>
        <v>#DIV/0!</v>
      </c>
      <c r="K87" s="118">
        <f t="shared" si="10"/>
        <v>31.428071942870062</v>
      </c>
      <c r="L87" s="44">
        <f>H87/H78*100</f>
        <v>0.38058425055330425</v>
      </c>
    </row>
    <row r="88" spans="4:12" ht="12.75">
      <c r="D88" s="48" t="s">
        <v>219</v>
      </c>
      <c r="E88" s="62">
        <f>E51-E33+E53+E76</f>
        <v>29688077.67</v>
      </c>
      <c r="F88" s="62">
        <f>F51-F33+F53+F76</f>
        <v>30497471.450000003</v>
      </c>
      <c r="G88" s="62">
        <f>G51-G33+G53+G76</f>
        <v>0</v>
      </c>
      <c r="H88" s="62">
        <f>H51-H33+H53+H76</f>
        <v>21020147.759999998</v>
      </c>
      <c r="I88" s="62"/>
      <c r="J88" s="44" t="e">
        <f t="shared" si="8"/>
        <v>#DIV/0!</v>
      </c>
      <c r="K88" s="118">
        <f t="shared" si="10"/>
        <v>70.80333052766497</v>
      </c>
      <c r="L88" s="69">
        <f>H88/H78*100</f>
        <v>99.61941574944669</v>
      </c>
    </row>
    <row r="92" spans="1:12" ht="48">
      <c r="A92" s="46" t="s">
        <v>157</v>
      </c>
      <c r="B92" s="45"/>
      <c r="C92" s="41"/>
      <c r="D92" s="47" t="s">
        <v>204</v>
      </c>
      <c r="E92" s="43">
        <v>246122.66</v>
      </c>
      <c r="F92" s="43"/>
      <c r="G92" s="43"/>
      <c r="H92" s="43"/>
      <c r="I92" s="43"/>
      <c r="J92" s="44" t="e">
        <f>(H92/G92)*100</f>
        <v>#DIV/0!</v>
      </c>
      <c r="K92" s="118">
        <f>H92/E92*100</f>
        <v>0</v>
      </c>
      <c r="L92" s="42">
        <f>H92/H78*100</f>
        <v>0</v>
      </c>
    </row>
  </sheetData>
  <sheetProtection/>
  <mergeCells count="10">
    <mergeCell ref="B11:C11"/>
    <mergeCell ref="L4:L5"/>
    <mergeCell ref="E4:E5"/>
    <mergeCell ref="A4:A5"/>
    <mergeCell ref="B4:B5"/>
    <mergeCell ref="C4:C5"/>
    <mergeCell ref="D4:D5"/>
    <mergeCell ref="F4:F5"/>
    <mergeCell ref="J4:J5"/>
    <mergeCell ref="A7:C7"/>
  </mergeCells>
  <printOptions/>
  <pageMargins left="0.4330708661417323" right="0.2755905511811024" top="0.2362204724409449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O6" sqref="O6"/>
    </sheetView>
  </sheetViews>
  <sheetFormatPr defaultColWidth="9.140625" defaultRowHeight="12.75"/>
  <cols>
    <col min="1" max="1" width="4.421875" style="0" customWidth="1"/>
    <col min="2" max="2" width="5.421875" style="0" customWidth="1"/>
    <col min="3" max="3" width="5.00390625" style="0" customWidth="1"/>
    <col min="4" max="4" width="19.7109375" style="0" customWidth="1"/>
    <col min="5" max="6" width="10.7109375" style="0" customWidth="1"/>
    <col min="7" max="7" width="11.00390625" style="0" customWidth="1"/>
    <col min="8" max="8" width="11.421875" style="0" customWidth="1"/>
    <col min="9" max="9" width="7.7109375" style="0" customWidth="1"/>
    <col min="10" max="10" width="7.28125" style="0" customWidth="1"/>
  </cols>
  <sheetData>
    <row r="1" spans="1:10" ht="36.75" customHeight="1">
      <c r="A1" s="141" t="s">
        <v>85</v>
      </c>
      <c r="B1" s="141" t="s">
        <v>155</v>
      </c>
      <c r="C1" s="141" t="s">
        <v>177</v>
      </c>
      <c r="D1" s="141" t="s">
        <v>1</v>
      </c>
      <c r="E1" s="9" t="s">
        <v>401</v>
      </c>
      <c r="F1" s="9" t="s">
        <v>402</v>
      </c>
      <c r="G1" s="9" t="s">
        <v>4</v>
      </c>
      <c r="H1" s="9" t="s">
        <v>403</v>
      </c>
      <c r="I1" s="9" t="s">
        <v>198</v>
      </c>
      <c r="J1" s="60" t="s">
        <v>205</v>
      </c>
    </row>
    <row r="2" spans="1:10" ht="12.75">
      <c r="A2" s="63">
        <v>1</v>
      </c>
      <c r="B2" s="63">
        <v>2</v>
      </c>
      <c r="C2" s="63">
        <v>3</v>
      </c>
      <c r="D2" s="63">
        <v>4</v>
      </c>
      <c r="E2" s="63">
        <v>5</v>
      </c>
      <c r="F2" s="63">
        <v>6</v>
      </c>
      <c r="G2" s="63">
        <v>7</v>
      </c>
      <c r="H2" s="63">
        <v>8</v>
      </c>
      <c r="I2" s="63">
        <v>9</v>
      </c>
      <c r="J2" s="63">
        <v>10</v>
      </c>
    </row>
    <row r="3" spans="1:10" s="50" customFormat="1" ht="21">
      <c r="A3" s="324" t="s">
        <v>87</v>
      </c>
      <c r="B3" s="143"/>
      <c r="C3" s="143"/>
      <c r="D3" s="7" t="s">
        <v>130</v>
      </c>
      <c r="E3" s="144">
        <f>E4</f>
        <v>0</v>
      </c>
      <c r="F3" s="144">
        <f>F4</f>
        <v>1501151</v>
      </c>
      <c r="G3" s="144">
        <f>G4</f>
        <v>0</v>
      </c>
      <c r="H3" s="144">
        <f>H4</f>
        <v>0</v>
      </c>
      <c r="I3" s="115" t="e">
        <f>(H3/G3)*100</f>
        <v>#DIV/0!</v>
      </c>
      <c r="J3" s="145"/>
    </row>
    <row r="4" spans="1:10" s="50" customFormat="1" ht="31.5">
      <c r="A4" s="325"/>
      <c r="B4" s="324" t="s">
        <v>88</v>
      </c>
      <c r="C4" s="143"/>
      <c r="D4" s="7" t="s">
        <v>175</v>
      </c>
      <c r="E4" s="144">
        <f>E5+E6</f>
        <v>0</v>
      </c>
      <c r="F4" s="144">
        <f>F5+F6</f>
        <v>1501151</v>
      </c>
      <c r="G4" s="144">
        <f>G5+G6</f>
        <v>0</v>
      </c>
      <c r="H4" s="144">
        <f>H5+H6</f>
        <v>0</v>
      </c>
      <c r="I4" s="115" t="e">
        <f>(H4/G4)*100</f>
        <v>#DIV/0!</v>
      </c>
      <c r="J4" s="145"/>
    </row>
    <row r="5" spans="1:10" ht="45">
      <c r="A5" s="325"/>
      <c r="B5" s="325"/>
      <c r="C5" s="142" t="s">
        <v>142</v>
      </c>
      <c r="D5" s="9" t="s">
        <v>156</v>
      </c>
      <c r="E5" s="9"/>
      <c r="F5" s="56">
        <v>100000</v>
      </c>
      <c r="G5" s="56"/>
      <c r="H5" s="56"/>
      <c r="I5" s="117" t="e">
        <f>(H5/G5)*100</f>
        <v>#DIV/0!</v>
      </c>
      <c r="J5" s="146"/>
    </row>
    <row r="6" spans="1:10" ht="76.5" customHeight="1">
      <c r="A6" s="325"/>
      <c r="B6" s="325"/>
      <c r="C6" s="142" t="s">
        <v>193</v>
      </c>
      <c r="D6" s="9" t="s">
        <v>176</v>
      </c>
      <c r="E6" s="9"/>
      <c r="F6" s="56">
        <v>1401151</v>
      </c>
      <c r="G6" s="56"/>
      <c r="H6" s="56"/>
      <c r="I6" s="117" t="e">
        <f>(H6/G6)*100</f>
        <v>#DIV/0!</v>
      </c>
      <c r="J6" s="146"/>
    </row>
    <row r="7" spans="1:10" ht="21">
      <c r="A7" s="329">
        <v>600</v>
      </c>
      <c r="B7" s="149"/>
      <c r="C7" s="5"/>
      <c r="D7" s="7" t="s">
        <v>9</v>
      </c>
      <c r="E7" s="8">
        <f>E8</f>
        <v>0</v>
      </c>
      <c r="F7" s="8">
        <f>F8</f>
        <v>1529586.81</v>
      </c>
      <c r="G7" s="8">
        <f>G8</f>
        <v>0</v>
      </c>
      <c r="H7" s="8">
        <f>H8</f>
        <v>0</v>
      </c>
      <c r="I7" s="115"/>
      <c r="J7" s="145"/>
    </row>
    <row r="8" spans="1:10" ht="12.75">
      <c r="A8" s="330"/>
      <c r="B8" s="147">
        <v>60016</v>
      </c>
      <c r="C8" s="5"/>
      <c r="D8" s="7" t="s">
        <v>11</v>
      </c>
      <c r="E8" s="8">
        <f>E9+E10</f>
        <v>0</v>
      </c>
      <c r="F8" s="8">
        <f>F9+F10</f>
        <v>1529586.81</v>
      </c>
      <c r="G8" s="8">
        <f>G9+G10</f>
        <v>0</v>
      </c>
      <c r="H8" s="8">
        <f>H9+H10</f>
        <v>0</v>
      </c>
      <c r="I8" s="115"/>
      <c r="J8" s="145"/>
    </row>
    <row r="9" spans="1:10" ht="78.75">
      <c r="A9" s="330"/>
      <c r="B9" s="148"/>
      <c r="C9" s="6" t="s">
        <v>193</v>
      </c>
      <c r="D9" s="9" t="s">
        <v>176</v>
      </c>
      <c r="E9" s="4"/>
      <c r="F9" s="56">
        <v>1512116</v>
      </c>
      <c r="G9" s="56"/>
      <c r="H9" s="56"/>
      <c r="I9" s="117"/>
      <c r="J9" s="146"/>
    </row>
    <row r="10" spans="1:10" ht="78.75">
      <c r="A10" s="161"/>
      <c r="B10" s="148"/>
      <c r="C10" s="6" t="s">
        <v>291</v>
      </c>
      <c r="D10" s="9" t="s">
        <v>304</v>
      </c>
      <c r="E10" s="4"/>
      <c r="F10" s="56">
        <v>17470.81</v>
      </c>
      <c r="G10" s="56"/>
      <c r="H10" s="56"/>
      <c r="I10" s="117"/>
      <c r="J10" s="146"/>
    </row>
    <row r="11" spans="1:10" s="50" customFormat="1" ht="21">
      <c r="A11" s="324" t="s">
        <v>178</v>
      </c>
      <c r="B11" s="143"/>
      <c r="C11" s="143"/>
      <c r="D11" s="7" t="s">
        <v>12</v>
      </c>
      <c r="E11" s="8">
        <f>E12</f>
        <v>0</v>
      </c>
      <c r="F11" s="144">
        <f>F12</f>
        <v>519452.67</v>
      </c>
      <c r="G11" s="144">
        <f>G12</f>
        <v>0</v>
      </c>
      <c r="H11" s="144">
        <f>H12</f>
        <v>0</v>
      </c>
      <c r="I11" s="115" t="e">
        <f>(H11/G11)*100</f>
        <v>#DIV/0!</v>
      </c>
      <c r="J11" s="145" t="e">
        <f>(H11/E11)*100</f>
        <v>#DIV/0!</v>
      </c>
    </row>
    <row r="12" spans="1:10" s="50" customFormat="1" ht="21">
      <c r="A12" s="325"/>
      <c r="B12" s="324" t="s">
        <v>179</v>
      </c>
      <c r="C12" s="143"/>
      <c r="D12" s="7" t="s">
        <v>13</v>
      </c>
      <c r="E12" s="144">
        <f>E14+E16+E13+E17+E15</f>
        <v>0</v>
      </c>
      <c r="F12" s="144">
        <f>F14+F16+F13+F17+F15</f>
        <v>519452.67</v>
      </c>
      <c r="G12" s="144">
        <f>G14+G16+G13+G17+G15</f>
        <v>0</v>
      </c>
      <c r="H12" s="144">
        <f>H14+H16+H13+H17+H15</f>
        <v>0</v>
      </c>
      <c r="I12" s="115" t="e">
        <f>(H12/G12)*100</f>
        <v>#DIV/0!</v>
      </c>
      <c r="J12" s="145" t="e">
        <f>(H12/E12)*100</f>
        <v>#DIV/0!</v>
      </c>
    </row>
    <row r="13" spans="1:10" s="50" customFormat="1" ht="78.75">
      <c r="A13" s="325"/>
      <c r="B13" s="328"/>
      <c r="C13" s="142" t="s">
        <v>258</v>
      </c>
      <c r="D13" s="9" t="s">
        <v>275</v>
      </c>
      <c r="E13" s="56"/>
      <c r="F13" s="56">
        <v>1000</v>
      </c>
      <c r="G13" s="56"/>
      <c r="H13" s="56"/>
      <c r="I13" s="115"/>
      <c r="J13" s="146"/>
    </row>
    <row r="14" spans="1:10" ht="45">
      <c r="A14" s="325"/>
      <c r="B14" s="325"/>
      <c r="C14" s="142" t="s">
        <v>142</v>
      </c>
      <c r="D14" s="9" t="s">
        <v>156</v>
      </c>
      <c r="E14" s="9"/>
      <c r="F14" s="4">
        <v>68000</v>
      </c>
      <c r="G14" s="56"/>
      <c r="H14" s="56"/>
      <c r="I14" s="117" t="e">
        <f>(H14/G14)*100</f>
        <v>#DIV/0!</v>
      </c>
      <c r="J14" s="145"/>
    </row>
    <row r="15" spans="1:10" ht="22.5">
      <c r="A15" s="325"/>
      <c r="B15" s="325"/>
      <c r="C15" s="142" t="s">
        <v>326</v>
      </c>
      <c r="D15" s="9" t="s">
        <v>334</v>
      </c>
      <c r="E15" s="9"/>
      <c r="F15" s="4"/>
      <c r="G15" s="56"/>
      <c r="H15" s="56"/>
      <c r="I15" s="117"/>
      <c r="J15" s="145"/>
    </row>
    <row r="16" spans="1:10" ht="78.75">
      <c r="A16" s="322"/>
      <c r="B16" s="323"/>
      <c r="C16" s="142" t="s">
        <v>193</v>
      </c>
      <c r="D16" s="9" t="s">
        <v>176</v>
      </c>
      <c r="E16" s="4"/>
      <c r="F16" s="4">
        <v>447294.5</v>
      </c>
      <c r="G16" s="56"/>
      <c r="H16" s="56"/>
      <c r="I16" s="117"/>
      <c r="J16" s="145"/>
    </row>
    <row r="17" spans="1:10" ht="65.25" customHeight="1">
      <c r="A17" s="320"/>
      <c r="B17" s="158"/>
      <c r="C17" s="142" t="s">
        <v>291</v>
      </c>
      <c r="D17" s="9" t="s">
        <v>304</v>
      </c>
      <c r="E17" s="4"/>
      <c r="F17" s="4">
        <v>3158.17</v>
      </c>
      <c r="G17" s="56"/>
      <c r="H17" s="56"/>
      <c r="I17" s="117"/>
      <c r="J17" s="145"/>
    </row>
    <row r="18" spans="1:10" s="50" customFormat="1" ht="21">
      <c r="A18" s="255">
        <v>750</v>
      </c>
      <c r="B18" s="149"/>
      <c r="C18" s="143"/>
      <c r="D18" s="7" t="s">
        <v>21</v>
      </c>
      <c r="E18" s="8">
        <f aca="true" t="shared" si="0" ref="E18:H19">E19</f>
        <v>0</v>
      </c>
      <c r="F18" s="8">
        <f t="shared" si="0"/>
        <v>780</v>
      </c>
      <c r="G18" s="8">
        <f t="shared" si="0"/>
        <v>0</v>
      </c>
      <c r="H18" s="8">
        <f t="shared" si="0"/>
        <v>0</v>
      </c>
      <c r="I18" s="117"/>
      <c r="J18" s="145"/>
    </row>
    <row r="19" spans="1:10" s="50" customFormat="1" ht="12.75">
      <c r="A19" s="255"/>
      <c r="B19" s="149">
        <v>75095</v>
      </c>
      <c r="C19" s="143"/>
      <c r="D19" s="7" t="s">
        <v>8</v>
      </c>
      <c r="E19" s="8">
        <f t="shared" si="0"/>
        <v>0</v>
      </c>
      <c r="F19" s="8">
        <f t="shared" si="0"/>
        <v>780</v>
      </c>
      <c r="G19" s="8">
        <f t="shared" si="0"/>
        <v>0</v>
      </c>
      <c r="H19" s="8">
        <f t="shared" si="0"/>
        <v>0</v>
      </c>
      <c r="I19" s="117"/>
      <c r="J19" s="145"/>
    </row>
    <row r="20" spans="1:10" ht="63" customHeight="1">
      <c r="A20" s="255"/>
      <c r="B20" s="141"/>
      <c r="C20" s="142" t="s">
        <v>291</v>
      </c>
      <c r="D20" s="9" t="s">
        <v>304</v>
      </c>
      <c r="E20" s="4"/>
      <c r="F20" s="56">
        <v>780</v>
      </c>
      <c r="G20" s="56"/>
      <c r="H20" s="56"/>
      <c r="I20" s="117"/>
      <c r="J20" s="145"/>
    </row>
    <row r="21" spans="1:10" s="50" customFormat="1" ht="31.5">
      <c r="A21" s="318">
        <v>754</v>
      </c>
      <c r="B21" s="149"/>
      <c r="C21" s="143"/>
      <c r="D21" s="7" t="s">
        <v>29</v>
      </c>
      <c r="E21" s="8">
        <f>E22</f>
        <v>0</v>
      </c>
      <c r="F21" s="8">
        <f>F22</f>
        <v>145520.4</v>
      </c>
      <c r="G21" s="8">
        <f>G22</f>
        <v>0</v>
      </c>
      <c r="H21" s="8">
        <f>H22</f>
        <v>0</v>
      </c>
      <c r="I21" s="115" t="e">
        <f>(H21/G21)*100</f>
        <v>#DIV/0!</v>
      </c>
      <c r="J21" s="145"/>
    </row>
    <row r="22" spans="1:10" s="50" customFormat="1" ht="21">
      <c r="A22" s="321"/>
      <c r="B22" s="318">
        <v>75412</v>
      </c>
      <c r="C22" s="143"/>
      <c r="D22" s="7" t="s">
        <v>261</v>
      </c>
      <c r="E22" s="8">
        <f>E25+E23+E24</f>
        <v>0</v>
      </c>
      <c r="F22" s="8">
        <f>F25+F23+F24</f>
        <v>145520.4</v>
      </c>
      <c r="G22" s="8">
        <f>G25+G23+G24</f>
        <v>0</v>
      </c>
      <c r="H22" s="8">
        <f>H25+H23+H24</f>
        <v>0</v>
      </c>
      <c r="I22" s="115" t="e">
        <f>(H22/G22)*100</f>
        <v>#DIV/0!</v>
      </c>
      <c r="J22" s="145"/>
    </row>
    <row r="23" spans="1:10" s="50" customFormat="1" ht="78.75">
      <c r="A23" s="321"/>
      <c r="B23" s="321"/>
      <c r="C23" s="6" t="s">
        <v>193</v>
      </c>
      <c r="D23" s="9" t="s">
        <v>145</v>
      </c>
      <c r="E23" s="8"/>
      <c r="F23" s="4">
        <v>103700</v>
      </c>
      <c r="G23" s="8"/>
      <c r="H23" s="8"/>
      <c r="I23" s="115"/>
      <c r="J23" s="145"/>
    </row>
    <row r="24" spans="1:10" s="50" customFormat="1" ht="78.75">
      <c r="A24" s="321"/>
      <c r="B24" s="321"/>
      <c r="C24" s="6" t="s">
        <v>291</v>
      </c>
      <c r="D24" s="9" t="s">
        <v>304</v>
      </c>
      <c r="E24" s="8"/>
      <c r="F24" s="4">
        <v>1820.4</v>
      </c>
      <c r="G24" s="4"/>
      <c r="H24" s="8"/>
      <c r="I24" s="115"/>
      <c r="J24" s="145"/>
    </row>
    <row r="25" spans="1:10" s="50" customFormat="1" ht="90">
      <c r="A25" s="321"/>
      <c r="B25" s="326"/>
      <c r="C25" s="142" t="s">
        <v>262</v>
      </c>
      <c r="D25" s="9" t="s">
        <v>263</v>
      </c>
      <c r="E25" s="4"/>
      <c r="F25" s="4">
        <v>40000</v>
      </c>
      <c r="G25" s="4"/>
      <c r="H25" s="4"/>
      <c r="I25" s="117" t="e">
        <f>(H25/G25)*100</f>
        <v>#DIV/0!</v>
      </c>
      <c r="J25" s="146"/>
    </row>
    <row r="26" spans="1:10" s="50" customFormat="1" ht="21">
      <c r="A26" s="157">
        <v>801</v>
      </c>
      <c r="B26" s="147"/>
      <c r="C26" s="142"/>
      <c r="D26" s="7" t="s">
        <v>55</v>
      </c>
      <c r="E26" s="4">
        <f aca="true" t="shared" si="1" ref="E26:H27">E27</f>
        <v>0</v>
      </c>
      <c r="F26" s="4">
        <f t="shared" si="1"/>
        <v>85000</v>
      </c>
      <c r="G26" s="4">
        <f t="shared" si="1"/>
        <v>0</v>
      </c>
      <c r="H26" s="4">
        <f t="shared" si="1"/>
        <v>0</v>
      </c>
      <c r="I26" s="117"/>
      <c r="J26" s="146"/>
    </row>
    <row r="27" spans="1:10" s="50" customFormat="1" ht="12.75">
      <c r="A27" s="157"/>
      <c r="B27" s="147">
        <v>80110</v>
      </c>
      <c r="C27" s="142"/>
      <c r="D27" s="7" t="s">
        <v>60</v>
      </c>
      <c r="E27" s="4">
        <f t="shared" si="1"/>
        <v>0</v>
      </c>
      <c r="F27" s="4">
        <f t="shared" si="1"/>
        <v>85000</v>
      </c>
      <c r="G27" s="4">
        <f t="shared" si="1"/>
        <v>0</v>
      </c>
      <c r="H27" s="4">
        <f t="shared" si="1"/>
        <v>0</v>
      </c>
      <c r="I27" s="117"/>
      <c r="J27" s="146"/>
    </row>
    <row r="28" spans="1:10" s="50" customFormat="1" ht="78.75">
      <c r="A28" s="157"/>
      <c r="B28" s="147"/>
      <c r="C28" s="6" t="s">
        <v>193</v>
      </c>
      <c r="D28" s="9" t="s">
        <v>145</v>
      </c>
      <c r="E28" s="4"/>
      <c r="F28" s="4">
        <v>85000</v>
      </c>
      <c r="G28" s="4"/>
      <c r="H28" s="4"/>
      <c r="I28" s="117"/>
      <c r="J28" s="146"/>
    </row>
    <row r="29" spans="1:10" s="50" customFormat="1" ht="42">
      <c r="A29" s="318">
        <v>900</v>
      </c>
      <c r="B29" s="149"/>
      <c r="C29" s="143"/>
      <c r="D29" s="7" t="s">
        <v>181</v>
      </c>
      <c r="E29" s="144">
        <f>E30+E38+E32+E34+E36</f>
        <v>0</v>
      </c>
      <c r="F29" s="144">
        <f>F30+F38+F32+F34+F36</f>
        <v>637556</v>
      </c>
      <c r="G29" s="144">
        <f>G30+G38+G32+G34+G36</f>
        <v>0</v>
      </c>
      <c r="H29" s="144">
        <f>H30+H38+H32+H34+H36</f>
        <v>0</v>
      </c>
      <c r="I29" s="115" t="e">
        <f>(H29/G29)*100</f>
        <v>#DIV/0!</v>
      </c>
      <c r="J29" s="145"/>
    </row>
    <row r="30" spans="1:10" s="50" customFormat="1" ht="21">
      <c r="A30" s="321"/>
      <c r="B30" s="150">
        <v>90001</v>
      </c>
      <c r="C30" s="143"/>
      <c r="D30" s="7" t="s">
        <v>78</v>
      </c>
      <c r="E30" s="144">
        <f>E31</f>
        <v>0</v>
      </c>
      <c r="F30" s="144">
        <f>F31</f>
        <v>345956</v>
      </c>
      <c r="G30" s="144">
        <f>G31</f>
        <v>0</v>
      </c>
      <c r="H30" s="144">
        <f>H31</f>
        <v>0</v>
      </c>
      <c r="I30" s="115" t="e">
        <f>(H30/G30)*100</f>
        <v>#DIV/0!</v>
      </c>
      <c r="J30" s="145"/>
    </row>
    <row r="31" spans="1:10" s="50" customFormat="1" ht="66" customHeight="1">
      <c r="A31" s="321"/>
      <c r="B31" s="150"/>
      <c r="C31" s="142" t="s">
        <v>193</v>
      </c>
      <c r="D31" s="9" t="s">
        <v>176</v>
      </c>
      <c r="E31" s="4"/>
      <c r="F31" s="4">
        <v>345956</v>
      </c>
      <c r="G31" s="56"/>
      <c r="H31" s="56"/>
      <c r="I31" s="117" t="e">
        <f>(H31/G31)*100</f>
        <v>#DIV/0!</v>
      </c>
      <c r="J31" s="146"/>
    </row>
    <row r="32" spans="1:10" s="50" customFormat="1" ht="12.75">
      <c r="A32" s="321"/>
      <c r="B32" s="150">
        <v>90002</v>
      </c>
      <c r="C32" s="142"/>
      <c r="D32" s="7" t="s">
        <v>273</v>
      </c>
      <c r="E32" s="4">
        <f>E33</f>
        <v>0</v>
      </c>
      <c r="F32" s="4">
        <f>F33</f>
        <v>85000</v>
      </c>
      <c r="G32" s="4">
        <f>G33</f>
        <v>0</v>
      </c>
      <c r="H32" s="4">
        <f>H33</f>
        <v>0</v>
      </c>
      <c r="I32" s="117"/>
      <c r="J32" s="146"/>
    </row>
    <row r="33" spans="1:10" s="50" customFormat="1" ht="66" customHeight="1">
      <c r="A33" s="321"/>
      <c r="B33" s="150"/>
      <c r="C33" s="142" t="s">
        <v>193</v>
      </c>
      <c r="D33" s="9" t="s">
        <v>145</v>
      </c>
      <c r="E33" s="4"/>
      <c r="F33" s="4">
        <v>85000</v>
      </c>
      <c r="G33" s="56"/>
      <c r="H33" s="56"/>
      <c r="I33" s="117"/>
      <c r="J33" s="146"/>
    </row>
    <row r="34" spans="1:10" s="50" customFormat="1" ht="21">
      <c r="A34" s="321"/>
      <c r="B34" s="150">
        <v>90004</v>
      </c>
      <c r="C34" s="142"/>
      <c r="D34" s="7" t="s">
        <v>319</v>
      </c>
      <c r="E34" s="4">
        <f>E35</f>
        <v>0</v>
      </c>
      <c r="F34" s="4">
        <f>F35</f>
        <v>3450</v>
      </c>
      <c r="G34" s="4">
        <f>G35</f>
        <v>0</v>
      </c>
      <c r="H34" s="4">
        <f>H35</f>
        <v>0</v>
      </c>
      <c r="I34" s="117"/>
      <c r="J34" s="146"/>
    </row>
    <row r="35" spans="1:10" s="50" customFormat="1" ht="66" customHeight="1">
      <c r="A35" s="321"/>
      <c r="B35" s="150"/>
      <c r="C35" s="142" t="s">
        <v>291</v>
      </c>
      <c r="D35" s="9" t="s">
        <v>292</v>
      </c>
      <c r="E35" s="4"/>
      <c r="F35" s="4">
        <v>3450</v>
      </c>
      <c r="G35" s="56"/>
      <c r="H35" s="56"/>
      <c r="I35" s="117"/>
      <c r="J35" s="146"/>
    </row>
    <row r="36" spans="1:10" s="50" customFormat="1" ht="21">
      <c r="A36" s="321"/>
      <c r="B36" s="150">
        <v>90015</v>
      </c>
      <c r="C36" s="142"/>
      <c r="D36" s="7" t="s">
        <v>300</v>
      </c>
      <c r="E36" s="4">
        <f>E37</f>
        <v>0</v>
      </c>
      <c r="F36" s="4">
        <f>F37</f>
        <v>88400</v>
      </c>
      <c r="G36" s="4">
        <f>G37</f>
        <v>0</v>
      </c>
      <c r="H36" s="4">
        <f>H37</f>
        <v>0</v>
      </c>
      <c r="I36" s="117"/>
      <c r="J36" s="146"/>
    </row>
    <row r="37" spans="1:10" s="50" customFormat="1" ht="66" customHeight="1">
      <c r="A37" s="321"/>
      <c r="B37" s="150"/>
      <c r="C37" s="61" t="s">
        <v>193</v>
      </c>
      <c r="D37" s="9" t="s">
        <v>145</v>
      </c>
      <c r="E37" s="4"/>
      <c r="F37" s="4">
        <v>88400</v>
      </c>
      <c r="G37" s="56"/>
      <c r="H37" s="56"/>
      <c r="I37" s="117"/>
      <c r="J37" s="146"/>
    </row>
    <row r="38" spans="1:10" s="50" customFormat="1" ht="12.75">
      <c r="A38" s="322"/>
      <c r="B38" s="150">
        <v>90095</v>
      </c>
      <c r="C38" s="143"/>
      <c r="D38" s="7" t="s">
        <v>8</v>
      </c>
      <c r="E38" s="8">
        <f>E39</f>
        <v>0</v>
      </c>
      <c r="F38" s="8">
        <f>F39</f>
        <v>114750</v>
      </c>
      <c r="G38" s="8">
        <f>G39</f>
        <v>0</v>
      </c>
      <c r="H38" s="8">
        <f>H39</f>
        <v>0</v>
      </c>
      <c r="I38" s="115"/>
      <c r="J38" s="146"/>
    </row>
    <row r="39" spans="1:10" s="50" customFormat="1" ht="66" customHeight="1">
      <c r="A39" s="323"/>
      <c r="B39" s="150"/>
      <c r="C39" s="142" t="s">
        <v>193</v>
      </c>
      <c r="D39" s="9" t="s">
        <v>176</v>
      </c>
      <c r="E39" s="4"/>
      <c r="F39" s="4">
        <v>114750</v>
      </c>
      <c r="G39" s="56"/>
      <c r="H39" s="56"/>
      <c r="I39" s="117"/>
      <c r="J39" s="146"/>
    </row>
    <row r="40" spans="1:10" s="50" customFormat="1" ht="33" customHeight="1">
      <c r="A40" s="318">
        <v>921</v>
      </c>
      <c r="B40" s="150"/>
      <c r="C40" s="143"/>
      <c r="D40" s="7" t="s">
        <v>79</v>
      </c>
      <c r="E40" s="8">
        <f aca="true" t="shared" si="2" ref="E40:H41">E41</f>
        <v>0</v>
      </c>
      <c r="F40" s="8">
        <f t="shared" si="2"/>
        <v>16008.08</v>
      </c>
      <c r="G40" s="8">
        <f t="shared" si="2"/>
        <v>0</v>
      </c>
      <c r="H40" s="8">
        <f t="shared" si="2"/>
        <v>0</v>
      </c>
      <c r="I40" s="115"/>
      <c r="J40" s="145"/>
    </row>
    <row r="41" spans="1:10" s="50" customFormat="1" ht="25.5" customHeight="1">
      <c r="A41" s="319"/>
      <c r="B41" s="150">
        <v>92109</v>
      </c>
      <c r="C41" s="142"/>
      <c r="D41" s="9" t="s">
        <v>141</v>
      </c>
      <c r="E41" s="4">
        <f t="shared" si="2"/>
        <v>0</v>
      </c>
      <c r="F41" s="4">
        <f t="shared" si="2"/>
        <v>16008.08</v>
      </c>
      <c r="G41" s="4">
        <f t="shared" si="2"/>
        <v>0</v>
      </c>
      <c r="H41" s="4">
        <f t="shared" si="2"/>
        <v>0</v>
      </c>
      <c r="I41" s="117"/>
      <c r="J41" s="146"/>
    </row>
    <row r="42" spans="1:10" s="50" customFormat="1" ht="73.5" customHeight="1">
      <c r="A42" s="320"/>
      <c r="B42" s="150"/>
      <c r="C42" s="142" t="s">
        <v>291</v>
      </c>
      <c r="D42" s="9" t="s">
        <v>292</v>
      </c>
      <c r="E42" s="4"/>
      <c r="F42" s="4">
        <v>16008.08</v>
      </c>
      <c r="G42" s="56"/>
      <c r="H42" s="56"/>
      <c r="I42" s="117"/>
      <c r="J42" s="146"/>
    </row>
    <row r="43" spans="1:10" s="50" customFormat="1" ht="21">
      <c r="A43" s="318">
        <v>926</v>
      </c>
      <c r="B43" s="149"/>
      <c r="C43" s="143"/>
      <c r="D43" s="7" t="s">
        <v>148</v>
      </c>
      <c r="E43" s="144">
        <f>E47+E44</f>
        <v>0</v>
      </c>
      <c r="F43" s="144">
        <f>F47+F44</f>
        <v>25156.11</v>
      </c>
      <c r="G43" s="144">
        <f>G47+G44</f>
        <v>0</v>
      </c>
      <c r="H43" s="144">
        <f>H47+H44</f>
        <v>0</v>
      </c>
      <c r="I43" s="115" t="e">
        <f aca="true" t="shared" si="3" ref="I43:I57">(H43/G43)*100</f>
        <v>#DIV/0!</v>
      </c>
      <c r="J43" s="145" t="e">
        <f>(H43/E43)*100</f>
        <v>#DIV/0!</v>
      </c>
    </row>
    <row r="44" spans="1:10" s="50" customFormat="1" ht="12.75">
      <c r="A44" s="321"/>
      <c r="B44" s="150">
        <v>92601</v>
      </c>
      <c r="C44" s="143"/>
      <c r="D44" s="7" t="s">
        <v>171</v>
      </c>
      <c r="E44" s="144">
        <f>E45+E46</f>
        <v>0</v>
      </c>
      <c r="F44" s="144">
        <f>F45+F46</f>
        <v>8763.99</v>
      </c>
      <c r="G44" s="144">
        <f>G45+G46</f>
        <v>0</v>
      </c>
      <c r="H44" s="144">
        <f>H45+H46</f>
        <v>0</v>
      </c>
      <c r="I44" s="115" t="e">
        <f t="shared" si="3"/>
        <v>#DIV/0!</v>
      </c>
      <c r="J44" s="145"/>
    </row>
    <row r="45" spans="1:10" s="50" customFormat="1" ht="66.75" customHeight="1">
      <c r="A45" s="321"/>
      <c r="B45" s="150"/>
      <c r="C45" s="142" t="s">
        <v>193</v>
      </c>
      <c r="D45" s="9" t="s">
        <v>281</v>
      </c>
      <c r="E45" s="4"/>
      <c r="F45" s="4"/>
      <c r="G45" s="56"/>
      <c r="H45" s="56"/>
      <c r="I45" s="117"/>
      <c r="J45" s="146"/>
    </row>
    <row r="46" spans="1:10" s="50" customFormat="1" ht="66.75" customHeight="1">
      <c r="A46" s="321"/>
      <c r="B46" s="150"/>
      <c r="C46" s="142" t="s">
        <v>291</v>
      </c>
      <c r="D46" s="9" t="s">
        <v>292</v>
      </c>
      <c r="E46" s="4"/>
      <c r="F46" s="4">
        <v>8763.99</v>
      </c>
      <c r="G46" s="56"/>
      <c r="H46" s="56"/>
      <c r="I46" s="117"/>
      <c r="J46" s="146"/>
    </row>
    <row r="47" spans="1:10" s="50" customFormat="1" ht="12.75">
      <c r="A47" s="325"/>
      <c r="B47" s="318">
        <v>92695</v>
      </c>
      <c r="C47" s="143"/>
      <c r="D47" s="7" t="s">
        <v>180</v>
      </c>
      <c r="E47" s="144">
        <f>E48+E49</f>
        <v>0</v>
      </c>
      <c r="F47" s="144">
        <f>F48+F49</f>
        <v>16392.12</v>
      </c>
      <c r="G47" s="144">
        <f>G48+G49</f>
        <v>0</v>
      </c>
      <c r="H47" s="144">
        <f>H48+H49</f>
        <v>0</v>
      </c>
      <c r="I47" s="115"/>
      <c r="J47" s="145"/>
    </row>
    <row r="48" spans="1:10" ht="68.25" customHeight="1">
      <c r="A48" s="327"/>
      <c r="B48" s="327"/>
      <c r="C48" s="142" t="s">
        <v>193</v>
      </c>
      <c r="D48" s="9" t="s">
        <v>280</v>
      </c>
      <c r="E48" s="9"/>
      <c r="F48" s="56">
        <v>16392.12</v>
      </c>
      <c r="G48" s="56"/>
      <c r="H48" s="56"/>
      <c r="I48" s="117"/>
      <c r="J48" s="146"/>
    </row>
    <row r="49" spans="1:10" ht="68.25" customHeight="1">
      <c r="A49" s="148"/>
      <c r="B49" s="148"/>
      <c r="C49" s="142" t="s">
        <v>291</v>
      </c>
      <c r="D49" s="9" t="s">
        <v>292</v>
      </c>
      <c r="E49" s="9"/>
      <c r="F49" s="56"/>
      <c r="G49" s="56"/>
      <c r="H49" s="56"/>
      <c r="I49" s="117"/>
      <c r="J49" s="146"/>
    </row>
    <row r="50" spans="1:10" ht="22.5">
      <c r="A50" s="141"/>
      <c r="B50" s="141"/>
      <c r="C50" s="142"/>
      <c r="D50" s="9" t="s">
        <v>182</v>
      </c>
      <c r="E50" s="56">
        <f>E3+E11+E29+E43+E21+E18+E7+E40+E26</f>
        <v>0</v>
      </c>
      <c r="F50" s="56">
        <f>F3+F11+F29+F43+F21+F18+F7+F40+F26</f>
        <v>4460211.07</v>
      </c>
      <c r="G50" s="56">
        <f>G3+G11+G29+G43+G21+G18+G7+G40+G26</f>
        <v>0</v>
      </c>
      <c r="H50" s="56">
        <f>H3+H11+H29+H43+H21+H18+H7+H40+H26</f>
        <v>0</v>
      </c>
      <c r="I50" s="117" t="e">
        <f t="shared" si="3"/>
        <v>#DIV/0!</v>
      </c>
      <c r="J50" s="146" t="e">
        <f aca="true" t="shared" si="4" ref="J50:J57">(H50/E50)*100</f>
        <v>#DIV/0!</v>
      </c>
    </row>
    <row r="51" spans="1:10" ht="22.5">
      <c r="A51" s="141"/>
      <c r="B51" s="141"/>
      <c r="C51" s="142"/>
      <c r="D51" s="9" t="s">
        <v>199</v>
      </c>
      <c r="E51" s="4">
        <f>E25+E42+E35+E46+E10+E17+E20+E24+E49</f>
        <v>0</v>
      </c>
      <c r="F51" s="4">
        <f>F25+F42+F35+F46+F10+F17+F20+F24+F49</f>
        <v>91451.45</v>
      </c>
      <c r="G51" s="4">
        <f>G25+G42+G35+G46+G10+G17+G20+G24+G49</f>
        <v>0</v>
      </c>
      <c r="H51" s="4">
        <f>H25+H42+H35+H46+H10+H17+H20+H24+H49</f>
        <v>0</v>
      </c>
      <c r="I51" s="117" t="e">
        <f t="shared" si="3"/>
        <v>#DIV/0!</v>
      </c>
      <c r="J51" s="146"/>
    </row>
    <row r="52" spans="1:10" ht="12.75">
      <c r="A52" s="141"/>
      <c r="B52" s="141"/>
      <c r="C52" s="142"/>
      <c r="D52" s="9" t="s">
        <v>276</v>
      </c>
      <c r="E52" s="4">
        <f>E6+E9+E16+E31+E39+E45+E48+E28+E37+E33+E23</f>
        <v>0</v>
      </c>
      <c r="F52" s="4">
        <f>F6+F9+F16+F31+F39+F45+F48+F28+F37+F33+F23</f>
        <v>4199759.62</v>
      </c>
      <c r="G52" s="4">
        <f>G6+G9+G16+G31+G39+G45+G48+G28+G37+G33+G23</f>
        <v>0</v>
      </c>
      <c r="H52" s="4">
        <f>H6+H9+H16+H31+H39+H45+H48+H28+H37+H33+H23</f>
        <v>0</v>
      </c>
      <c r="I52" s="117" t="e">
        <f t="shared" si="3"/>
        <v>#DIV/0!</v>
      </c>
      <c r="J52" s="146" t="e">
        <f t="shared" si="4"/>
        <v>#DIV/0!</v>
      </c>
    </row>
    <row r="53" spans="1:10" ht="22.5">
      <c r="A53" s="141"/>
      <c r="B53" s="141"/>
      <c r="C53" s="142"/>
      <c r="D53" s="9" t="s">
        <v>279</v>
      </c>
      <c r="E53" s="4">
        <f>E5+E13+E14+E15</f>
        <v>0</v>
      </c>
      <c r="F53" s="4">
        <f>F5+F13+F14+F15</f>
        <v>169000</v>
      </c>
      <c r="G53" s="4">
        <f>G5+G13+G14+G15</f>
        <v>0</v>
      </c>
      <c r="H53" s="4">
        <f>H5+H13+H14+H15</f>
        <v>0</v>
      </c>
      <c r="I53" s="117" t="e">
        <f t="shared" si="3"/>
        <v>#DIV/0!</v>
      </c>
      <c r="J53" s="146" t="e">
        <f t="shared" si="4"/>
        <v>#DIV/0!</v>
      </c>
    </row>
    <row r="54" spans="1:10" ht="12.75">
      <c r="A54" s="141"/>
      <c r="B54" s="141"/>
      <c r="C54" s="142"/>
      <c r="D54" s="9" t="s">
        <v>183</v>
      </c>
      <c r="E54" s="56">
        <f>E55-E50</f>
        <v>0</v>
      </c>
      <c r="F54" s="56">
        <f>F55-F50</f>
        <v>30497471.450000003</v>
      </c>
      <c r="G54" s="56">
        <f>G55-G50</f>
        <v>0</v>
      </c>
      <c r="H54" s="56">
        <f>H55-H50</f>
        <v>0</v>
      </c>
      <c r="I54" s="117" t="e">
        <f t="shared" si="3"/>
        <v>#DIV/0!</v>
      </c>
      <c r="J54" s="146" t="e">
        <f t="shared" si="4"/>
        <v>#DIV/0!</v>
      </c>
    </row>
    <row r="55" spans="1:10" ht="12.75">
      <c r="A55" s="141"/>
      <c r="B55" s="141"/>
      <c r="C55" s="142"/>
      <c r="D55" s="7" t="s">
        <v>184</v>
      </c>
      <c r="E55" s="8"/>
      <c r="F55" s="144">
        <v>34957682.52</v>
      </c>
      <c r="G55" s="144"/>
      <c r="H55" s="144"/>
      <c r="I55" s="115" t="e">
        <f t="shared" si="3"/>
        <v>#DIV/0!</v>
      </c>
      <c r="J55" s="145" t="e">
        <f t="shared" si="4"/>
        <v>#DIV/0!</v>
      </c>
    </row>
    <row r="56" spans="1:10" ht="12.75">
      <c r="A56" s="151"/>
      <c r="B56" s="151"/>
      <c r="C56" s="152"/>
      <c r="D56" s="153"/>
      <c r="E56" s="153"/>
      <c r="F56" s="151"/>
      <c r="G56" s="151"/>
      <c r="H56" s="151"/>
      <c r="I56" s="115"/>
      <c r="J56" s="145"/>
    </row>
    <row r="57" spans="1:10" ht="12.75">
      <c r="A57" s="151"/>
      <c r="B57" s="151"/>
      <c r="C57" s="152"/>
      <c r="D57" s="153" t="s">
        <v>277</v>
      </c>
      <c r="E57" s="154">
        <f>E51+E52</f>
        <v>0</v>
      </c>
      <c r="F57" s="154">
        <f>F51+F52</f>
        <v>4291211.07</v>
      </c>
      <c r="G57" s="154">
        <f>G51+G52</f>
        <v>0</v>
      </c>
      <c r="H57" s="154">
        <f>H51+H52</f>
        <v>0</v>
      </c>
      <c r="I57" s="115" t="e">
        <f t="shared" si="3"/>
        <v>#DIV/0!</v>
      </c>
      <c r="J57" s="145" t="e">
        <f t="shared" si="4"/>
        <v>#DIV/0!</v>
      </c>
    </row>
    <row r="58" spans="1:10" ht="12.75">
      <c r="A58" s="151"/>
      <c r="B58" s="151"/>
      <c r="C58" s="152"/>
      <c r="D58" s="153"/>
      <c r="E58" s="154">
        <f>E57+E53</f>
        <v>0</v>
      </c>
      <c r="F58" s="154">
        <f>F57+F53</f>
        <v>4460211.07</v>
      </c>
      <c r="G58" s="154">
        <f>G57+G53</f>
        <v>0</v>
      </c>
      <c r="H58" s="154">
        <f>H57+H53</f>
        <v>0</v>
      </c>
      <c r="I58" s="151"/>
      <c r="J58" s="151"/>
    </row>
    <row r="59" spans="1:10" ht="12.75">
      <c r="A59" s="151"/>
      <c r="B59" s="151"/>
      <c r="C59" s="152"/>
      <c r="D59" s="153" t="s">
        <v>278</v>
      </c>
      <c r="E59" s="154">
        <f>E50-E58</f>
        <v>0</v>
      </c>
      <c r="F59" s="154">
        <f>F50-F58</f>
        <v>0</v>
      </c>
      <c r="G59" s="154">
        <f>G50-G58</f>
        <v>0</v>
      </c>
      <c r="H59" s="154">
        <f>H50-H58</f>
        <v>0</v>
      </c>
      <c r="I59" s="151"/>
      <c r="J59" s="151"/>
    </row>
  </sheetData>
  <sheetProtection/>
  <mergeCells count="12">
    <mergeCell ref="B47:B48"/>
    <mergeCell ref="A43:A48"/>
    <mergeCell ref="A18:A20"/>
    <mergeCell ref="B12:B16"/>
    <mergeCell ref="A7:A9"/>
    <mergeCell ref="A40:A42"/>
    <mergeCell ref="A29:A39"/>
    <mergeCell ref="A11:A17"/>
    <mergeCell ref="B22:B25"/>
    <mergeCell ref="B4:B6"/>
    <mergeCell ref="A21:A25"/>
    <mergeCell ref="A3:A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6"/>
  <sheetViews>
    <sheetView view="pageLayout" workbookViewId="0" topLeftCell="A231">
      <selection activeCell="J14" sqref="J14"/>
    </sheetView>
  </sheetViews>
  <sheetFormatPr defaultColWidth="9.140625" defaultRowHeight="12.75"/>
  <cols>
    <col min="1" max="1" width="5.140625" style="0" customWidth="1"/>
    <col min="2" max="2" width="6.00390625" style="0" customWidth="1"/>
    <col min="3" max="3" width="5.140625" style="0" customWidth="1"/>
    <col min="4" max="4" width="35.7109375" style="0" customWidth="1"/>
    <col min="5" max="5" width="0.2890625" style="0" hidden="1" customWidth="1"/>
    <col min="6" max="8" width="9.140625" style="0" hidden="1" customWidth="1"/>
    <col min="9" max="9" width="11.28125" style="0" customWidth="1"/>
    <col min="10" max="10" width="10.8515625" style="0" customWidth="1"/>
    <col min="11" max="11" width="6.7109375" style="0" customWidth="1"/>
    <col min="12" max="12" width="6.00390625" style="0" customWidth="1"/>
    <col min="13" max="13" width="0.13671875" style="0" customWidth="1"/>
  </cols>
  <sheetData>
    <row r="1" spans="1:13" ht="38.25" customHeight="1">
      <c r="A1" s="346" t="s">
        <v>440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</row>
    <row r="2" spans="1:13" ht="12.75" hidden="1">
      <c r="A2" s="265" t="s">
        <v>85</v>
      </c>
      <c r="B2" s="265" t="s">
        <v>84</v>
      </c>
      <c r="C2" s="256" t="s">
        <v>0</v>
      </c>
      <c r="D2" s="237" t="s">
        <v>1</v>
      </c>
      <c r="E2" s="253"/>
      <c r="F2" s="258"/>
      <c r="G2" s="259"/>
      <c r="H2" s="259"/>
      <c r="I2" s="259"/>
      <c r="J2" s="259"/>
      <c r="K2" s="259"/>
      <c r="L2" s="259"/>
      <c r="M2" s="260"/>
    </row>
    <row r="3" spans="1:13" ht="12.75" hidden="1">
      <c r="A3" s="256"/>
      <c r="B3" s="256"/>
      <c r="C3" s="257"/>
      <c r="D3" s="255"/>
      <c r="E3" s="253"/>
      <c r="F3" s="261"/>
      <c r="G3" s="262"/>
      <c r="H3" s="262"/>
      <c r="I3" s="262"/>
      <c r="J3" s="262"/>
      <c r="K3" s="262"/>
      <c r="L3" s="262"/>
      <c r="M3" s="263"/>
    </row>
    <row r="4" spans="1:13" ht="12.75">
      <c r="A4" s="256"/>
      <c r="B4" s="256"/>
      <c r="C4" s="257"/>
      <c r="D4" s="255"/>
      <c r="E4" s="253" t="s">
        <v>357</v>
      </c>
      <c r="F4" s="253" t="s">
        <v>356</v>
      </c>
      <c r="G4" s="253" t="s">
        <v>342</v>
      </c>
      <c r="H4" s="253" t="s">
        <v>343</v>
      </c>
      <c r="I4" s="264" t="s">
        <v>396</v>
      </c>
      <c r="J4" s="264" t="s">
        <v>397</v>
      </c>
      <c r="K4" s="343" t="s">
        <v>398</v>
      </c>
      <c r="L4" s="253" t="s">
        <v>432</v>
      </c>
      <c r="M4" s="253" t="s">
        <v>83</v>
      </c>
    </row>
    <row r="5" spans="1:13" ht="12.75">
      <c r="A5" s="256"/>
      <c r="B5" s="256"/>
      <c r="C5" s="257"/>
      <c r="D5" s="255"/>
      <c r="E5" s="254"/>
      <c r="F5" s="253"/>
      <c r="G5" s="253"/>
      <c r="H5" s="254"/>
      <c r="I5" s="241"/>
      <c r="J5" s="241"/>
      <c r="K5" s="244"/>
      <c r="L5" s="254"/>
      <c r="M5" s="254"/>
    </row>
    <row r="6" spans="1:13" ht="13.5" customHeight="1">
      <c r="A6" s="256"/>
      <c r="B6" s="256"/>
      <c r="C6" s="257"/>
      <c r="D6" s="255"/>
      <c r="E6" s="254"/>
      <c r="F6" s="253"/>
      <c r="G6" s="253"/>
      <c r="H6" s="254"/>
      <c r="I6" s="242"/>
      <c r="J6" s="242"/>
      <c r="K6" s="245"/>
      <c r="L6" s="254"/>
      <c r="M6" s="254"/>
    </row>
    <row r="7" spans="1:13" ht="12.75">
      <c r="A7" s="32">
        <v>1</v>
      </c>
      <c r="B7" s="32">
        <v>2</v>
      </c>
      <c r="C7" s="32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5</v>
      </c>
      <c r="J7" s="33">
        <v>6</v>
      </c>
      <c r="K7" s="33">
        <v>7</v>
      </c>
      <c r="L7" s="33">
        <v>8</v>
      </c>
      <c r="M7" s="33">
        <v>9</v>
      </c>
    </row>
    <row r="8" spans="1:13" ht="15" customHeight="1">
      <c r="A8" s="265" t="s">
        <v>87</v>
      </c>
      <c r="B8" s="5"/>
      <c r="C8" s="5"/>
      <c r="D8" s="7" t="s">
        <v>5</v>
      </c>
      <c r="E8" s="8" t="e">
        <f aca="true" t="shared" si="0" ref="E8:J8">E9+E14</f>
        <v>#REF!</v>
      </c>
      <c r="F8" s="8" t="e">
        <f t="shared" si="0"/>
        <v>#REF!</v>
      </c>
      <c r="G8" s="8" t="e">
        <f t="shared" si="0"/>
        <v>#REF!</v>
      </c>
      <c r="H8" s="8" t="e">
        <f t="shared" si="0"/>
        <v>#REF!</v>
      </c>
      <c r="I8" s="8">
        <f t="shared" si="0"/>
        <v>653765.44</v>
      </c>
      <c r="J8" s="8">
        <f t="shared" si="0"/>
        <v>1554509.31</v>
      </c>
      <c r="K8" s="57">
        <f>J8/I8*100</f>
        <v>237.77783512080418</v>
      </c>
      <c r="L8" s="57">
        <f aca="true" t="shared" si="1" ref="L8:L22">(J8/$J$236)*100</f>
        <v>3.621427645137059</v>
      </c>
      <c r="M8" s="57" t="e">
        <f>(H8/E8)*100</f>
        <v>#REF!</v>
      </c>
    </row>
    <row r="9" spans="1:13" ht="14.25" customHeight="1">
      <c r="A9" s="270"/>
      <c r="B9" s="238" t="s">
        <v>88</v>
      </c>
      <c r="C9" s="5"/>
      <c r="D9" s="7" t="s">
        <v>6</v>
      </c>
      <c r="E9" s="8" t="e">
        <f>#REF!+E10+E12+E11+E13</f>
        <v>#REF!</v>
      </c>
      <c r="F9" s="8" t="e">
        <f>#REF!+F10+F12+F11+F13</f>
        <v>#REF!</v>
      </c>
      <c r="G9" s="8" t="e">
        <f>#REF!+G10+G12+G11+G13</f>
        <v>#REF!</v>
      </c>
      <c r="H9" s="8" t="e">
        <f>#REF!+H10+H12+H11+H13</f>
        <v>#REF!</v>
      </c>
      <c r="I9" s="8">
        <f>I10+I12+I11+I13</f>
        <v>18000</v>
      </c>
      <c r="J9" s="8">
        <f>J10+J12+J11+J13</f>
        <v>1543509.31</v>
      </c>
      <c r="K9" s="57">
        <f aca="true" t="shared" si="2" ref="K9:K62">J9/I9*100</f>
        <v>8575.051722222222</v>
      </c>
      <c r="L9" s="57">
        <f t="shared" si="1"/>
        <v>3.595801742583598</v>
      </c>
      <c r="M9" s="57"/>
    </row>
    <row r="10" spans="1:13" ht="22.5" customHeight="1">
      <c r="A10" s="270"/>
      <c r="B10" s="344"/>
      <c r="C10" s="6" t="s">
        <v>142</v>
      </c>
      <c r="D10" s="9" t="s">
        <v>143</v>
      </c>
      <c r="E10" s="4">
        <v>67590.16</v>
      </c>
      <c r="F10" s="4">
        <v>100000</v>
      </c>
      <c r="G10" s="4">
        <v>100000</v>
      </c>
      <c r="H10" s="4">
        <v>3034.59</v>
      </c>
      <c r="I10" s="4">
        <v>5000</v>
      </c>
      <c r="J10" s="4">
        <v>5000</v>
      </c>
      <c r="K10" s="57">
        <f t="shared" si="2"/>
        <v>100</v>
      </c>
      <c r="L10" s="57">
        <f t="shared" si="1"/>
        <v>0.01164813752430038</v>
      </c>
      <c r="M10" s="58"/>
    </row>
    <row r="11" spans="1:13" ht="12.75" customHeight="1">
      <c r="A11" s="270"/>
      <c r="B11" s="344"/>
      <c r="C11" s="6" t="s">
        <v>325</v>
      </c>
      <c r="D11" s="9" t="s">
        <v>330</v>
      </c>
      <c r="E11" s="4"/>
      <c r="F11" s="4"/>
      <c r="G11" s="4"/>
      <c r="H11" s="4">
        <v>1307</v>
      </c>
      <c r="I11" s="4">
        <v>13000</v>
      </c>
      <c r="J11" s="4">
        <v>15000</v>
      </c>
      <c r="K11" s="57">
        <f t="shared" si="2"/>
        <v>115.38461538461537</v>
      </c>
      <c r="L11" s="57">
        <f t="shared" si="1"/>
        <v>0.034944412572901144</v>
      </c>
      <c r="M11" s="58"/>
    </row>
    <row r="12" spans="1:13" ht="45" customHeight="1">
      <c r="A12" s="270"/>
      <c r="B12" s="344"/>
      <c r="C12" s="6" t="s">
        <v>193</v>
      </c>
      <c r="D12" s="9" t="s">
        <v>145</v>
      </c>
      <c r="E12" s="4"/>
      <c r="F12" s="4">
        <v>1401151</v>
      </c>
      <c r="G12" s="4"/>
      <c r="H12" s="4"/>
      <c r="I12" s="4"/>
      <c r="J12" s="4">
        <v>1523509.31</v>
      </c>
      <c r="K12" s="57">
        <v>0</v>
      </c>
      <c r="L12" s="57">
        <f t="shared" si="1"/>
        <v>3.549209192486397</v>
      </c>
      <c r="M12" s="58"/>
    </row>
    <row r="13" spans="1:13" ht="48" customHeight="1">
      <c r="A13" s="270"/>
      <c r="B13" s="165"/>
      <c r="C13" s="61" t="s">
        <v>291</v>
      </c>
      <c r="D13" s="9" t="s">
        <v>304</v>
      </c>
      <c r="E13" s="4"/>
      <c r="F13" s="4"/>
      <c r="G13" s="4"/>
      <c r="H13" s="4"/>
      <c r="I13" s="4"/>
      <c r="J13" s="4"/>
      <c r="K13" s="57">
        <v>0</v>
      </c>
      <c r="L13" s="57">
        <f t="shared" si="1"/>
        <v>0</v>
      </c>
      <c r="M13" s="58"/>
    </row>
    <row r="14" spans="1:13" ht="10.5" customHeight="1">
      <c r="A14" s="270"/>
      <c r="B14" s="238" t="s">
        <v>116</v>
      </c>
      <c r="C14" s="5"/>
      <c r="D14" s="7" t="s">
        <v>8</v>
      </c>
      <c r="E14" s="8">
        <f aca="true" t="shared" si="3" ref="E14:J14">E17+E16+E15</f>
        <v>655364.99</v>
      </c>
      <c r="F14" s="8">
        <f t="shared" si="3"/>
        <v>10000</v>
      </c>
      <c r="G14" s="8">
        <f t="shared" si="3"/>
        <v>413096.34</v>
      </c>
      <c r="H14" s="8">
        <f t="shared" si="3"/>
        <v>409064.35000000003</v>
      </c>
      <c r="I14" s="8">
        <f t="shared" si="3"/>
        <v>635765.44</v>
      </c>
      <c r="J14" s="8">
        <f t="shared" si="3"/>
        <v>11000</v>
      </c>
      <c r="K14" s="57">
        <f t="shared" si="2"/>
        <v>1.7301978541016636</v>
      </c>
      <c r="L14" s="57">
        <f t="shared" si="1"/>
        <v>0.02562590255346084</v>
      </c>
      <c r="M14" s="57">
        <f>(H14/E14)*100</f>
        <v>62.41779103885303</v>
      </c>
    </row>
    <row r="15" spans="1:13" ht="57.75" customHeight="1">
      <c r="A15" s="270"/>
      <c r="B15" s="239"/>
      <c r="C15" s="6" t="s">
        <v>91</v>
      </c>
      <c r="D15" s="9" t="s">
        <v>443</v>
      </c>
      <c r="E15" s="4">
        <v>5817.33</v>
      </c>
      <c r="F15" s="4"/>
      <c r="G15" s="4"/>
      <c r="H15" s="4">
        <v>5968.01</v>
      </c>
      <c r="I15" s="4">
        <v>8000</v>
      </c>
      <c r="J15" s="4">
        <v>10000</v>
      </c>
      <c r="K15" s="57">
        <f t="shared" si="2"/>
        <v>125</v>
      </c>
      <c r="L15" s="57">
        <f t="shared" si="1"/>
        <v>0.02329627504860076</v>
      </c>
      <c r="M15" s="58"/>
    </row>
    <row r="16" spans="1:13" ht="12" customHeight="1">
      <c r="A16" s="270"/>
      <c r="B16" s="239"/>
      <c r="C16" s="6" t="s">
        <v>90</v>
      </c>
      <c r="D16" s="9" t="s">
        <v>303</v>
      </c>
      <c r="E16" s="4"/>
      <c r="F16" s="4">
        <v>10000</v>
      </c>
      <c r="G16" s="4">
        <v>10000</v>
      </c>
      <c r="H16" s="4"/>
      <c r="I16" s="4">
        <v>500</v>
      </c>
      <c r="J16" s="4">
        <v>1000</v>
      </c>
      <c r="K16" s="57">
        <v>0</v>
      </c>
      <c r="L16" s="57">
        <f t="shared" si="1"/>
        <v>0.0023296275048600764</v>
      </c>
      <c r="M16" s="58"/>
    </row>
    <row r="17" spans="1:13" ht="34.5" customHeight="1">
      <c r="A17" s="270"/>
      <c r="B17" s="345"/>
      <c r="C17" s="6" t="s">
        <v>117</v>
      </c>
      <c r="D17" s="9" t="str">
        <f>D46</f>
        <v>Dotacje celowe otrzymane z budżetu państwa na realizację zadań bieżących z zakresu administracji rządowej oraz innych zadań zleconych gminie ustawami </v>
      </c>
      <c r="E17" s="4">
        <v>649547.66</v>
      </c>
      <c r="F17" s="4"/>
      <c r="G17" s="4">
        <v>403096.34</v>
      </c>
      <c r="H17" s="4">
        <v>403096.34</v>
      </c>
      <c r="I17" s="4">
        <v>627265.44</v>
      </c>
      <c r="J17" s="4">
        <v>0</v>
      </c>
      <c r="K17" s="57">
        <f t="shared" si="2"/>
        <v>0</v>
      </c>
      <c r="L17" s="57">
        <f t="shared" si="1"/>
        <v>0</v>
      </c>
      <c r="M17" s="57">
        <f>(H17/E17)*100</f>
        <v>62.05800818372589</v>
      </c>
    </row>
    <row r="18" spans="1:13" ht="13.5" customHeight="1">
      <c r="A18" s="238">
        <v>600</v>
      </c>
      <c r="B18" s="5"/>
      <c r="C18" s="6"/>
      <c r="D18" s="7" t="s">
        <v>9</v>
      </c>
      <c r="E18" s="8" t="e">
        <f>#REF!+E19</f>
        <v>#REF!</v>
      </c>
      <c r="F18" s="8" t="e">
        <f>#REF!+F19</f>
        <v>#REF!</v>
      </c>
      <c r="G18" s="8" t="e">
        <f>#REF!+G19</f>
        <v>#REF!</v>
      </c>
      <c r="H18" s="8" t="e">
        <f>#REF!+H19</f>
        <v>#REF!</v>
      </c>
      <c r="I18" s="8">
        <f>I19</f>
        <v>3608433</v>
      </c>
      <c r="J18" s="8">
        <f>J19</f>
        <v>4710433.95</v>
      </c>
      <c r="K18" s="57">
        <f t="shared" si="2"/>
        <v>130.53959849053592</v>
      </c>
      <c r="L18" s="57">
        <f t="shared" si="1"/>
        <v>10.973556489746693</v>
      </c>
      <c r="M18" s="57" t="e">
        <f>(H18/E18)*100</f>
        <v>#REF!</v>
      </c>
    </row>
    <row r="19" spans="1:13" ht="12" customHeight="1">
      <c r="A19" s="239"/>
      <c r="B19" s="238">
        <v>60016</v>
      </c>
      <c r="C19" s="5"/>
      <c r="D19" s="7" t="s">
        <v>11</v>
      </c>
      <c r="E19" s="8" t="e">
        <f>E24+E20+#REF!+E25+E21+E22</f>
        <v>#REF!</v>
      </c>
      <c r="F19" s="8" t="e">
        <f>F24+F20+#REF!+F25+F21+F22</f>
        <v>#REF!</v>
      </c>
      <c r="G19" s="8" t="e">
        <f>G24+G20+#REF!+G25+G21+G22</f>
        <v>#REF!</v>
      </c>
      <c r="H19" s="8" t="e">
        <f>H24+H20+#REF!+H25+H21+H22</f>
        <v>#REF!</v>
      </c>
      <c r="I19" s="8">
        <f>I20+I21+I22+I23+I24+I25</f>
        <v>3608433</v>
      </c>
      <c r="J19" s="8">
        <f>J20+J21+J22+J23+J24+J25</f>
        <v>4710433.95</v>
      </c>
      <c r="K19" s="57">
        <f t="shared" si="2"/>
        <v>130.53959849053592</v>
      </c>
      <c r="L19" s="57">
        <f t="shared" si="1"/>
        <v>10.973556489746693</v>
      </c>
      <c r="M19" s="57"/>
    </row>
    <row r="20" spans="1:13" ht="23.25" customHeight="1">
      <c r="A20" s="239"/>
      <c r="B20" s="239"/>
      <c r="C20" s="61" t="s">
        <v>92</v>
      </c>
      <c r="D20" s="9" t="s">
        <v>14</v>
      </c>
      <c r="E20" s="4">
        <v>2136.29</v>
      </c>
      <c r="F20" s="4">
        <v>3500</v>
      </c>
      <c r="G20" s="4">
        <v>29500</v>
      </c>
      <c r="H20" s="4">
        <v>30601.1</v>
      </c>
      <c r="I20" s="4">
        <v>33000</v>
      </c>
      <c r="J20" s="4">
        <v>35000</v>
      </c>
      <c r="K20" s="57">
        <f t="shared" si="2"/>
        <v>106.06060606060606</v>
      </c>
      <c r="L20" s="57">
        <f t="shared" si="1"/>
        <v>0.08153696267010267</v>
      </c>
      <c r="M20" s="58"/>
    </row>
    <row r="21" spans="1:13" ht="15" customHeight="1">
      <c r="A21" s="239"/>
      <c r="B21" s="239"/>
      <c r="C21" s="61" t="s">
        <v>325</v>
      </c>
      <c r="D21" s="9" t="s">
        <v>330</v>
      </c>
      <c r="E21" s="4"/>
      <c r="F21" s="4"/>
      <c r="G21" s="4">
        <v>560</v>
      </c>
      <c r="H21" s="4">
        <v>552.6</v>
      </c>
      <c r="I21" s="4">
        <v>700</v>
      </c>
      <c r="J21" s="4">
        <v>1000</v>
      </c>
      <c r="K21" s="57">
        <f t="shared" si="2"/>
        <v>142.85714285714286</v>
      </c>
      <c r="L21" s="57">
        <f t="shared" si="1"/>
        <v>0.0023296275048600764</v>
      </c>
      <c r="M21" s="58"/>
    </row>
    <row r="22" spans="1:13" ht="23.25" customHeight="1">
      <c r="A22" s="239"/>
      <c r="B22" s="239"/>
      <c r="C22" s="61" t="s">
        <v>94</v>
      </c>
      <c r="D22" s="9" t="s">
        <v>331</v>
      </c>
      <c r="E22" s="4"/>
      <c r="F22" s="4"/>
      <c r="G22" s="4">
        <v>15000</v>
      </c>
      <c r="H22" s="4">
        <v>15000</v>
      </c>
      <c r="I22" s="4">
        <v>15000</v>
      </c>
      <c r="J22" s="4">
        <v>18000</v>
      </c>
      <c r="K22" s="57">
        <f t="shared" si="2"/>
        <v>120</v>
      </c>
      <c r="L22" s="57">
        <f t="shared" si="1"/>
        <v>0.04193329508748137</v>
      </c>
      <c r="M22" s="58"/>
    </row>
    <row r="23" spans="1:13" ht="58.5" customHeight="1">
      <c r="A23" s="239"/>
      <c r="B23" s="239"/>
      <c r="C23" s="61" t="s">
        <v>405</v>
      </c>
      <c r="D23" s="9" t="s">
        <v>444</v>
      </c>
      <c r="E23" s="4"/>
      <c r="F23" s="4"/>
      <c r="G23" s="4"/>
      <c r="H23" s="4"/>
      <c r="I23" s="4">
        <v>110000</v>
      </c>
      <c r="J23" s="4"/>
      <c r="K23" s="57"/>
      <c r="L23" s="57"/>
      <c r="M23" s="58"/>
    </row>
    <row r="24" spans="1:13" ht="45" customHeight="1">
      <c r="A24" s="241"/>
      <c r="B24" s="241"/>
      <c r="C24" s="61" t="s">
        <v>193</v>
      </c>
      <c r="D24" s="9" t="s">
        <v>145</v>
      </c>
      <c r="E24" s="4"/>
      <c r="F24" s="4">
        <v>1512116</v>
      </c>
      <c r="G24" s="4"/>
      <c r="H24" s="4"/>
      <c r="I24" s="4">
        <v>1271869</v>
      </c>
      <c r="J24" s="4">
        <v>2842431</v>
      </c>
      <c r="K24" s="57">
        <v>0</v>
      </c>
      <c r="L24" s="57">
        <f aca="true" t="shared" si="4" ref="L24:L63">(J24/$J$236)*100</f>
        <v>6.621805438266931</v>
      </c>
      <c r="M24" s="58"/>
    </row>
    <row r="25" spans="1:13" ht="44.25" customHeight="1">
      <c r="A25" s="242"/>
      <c r="B25" s="242"/>
      <c r="C25" s="61" t="s">
        <v>291</v>
      </c>
      <c r="D25" s="9" t="s">
        <v>304</v>
      </c>
      <c r="E25" s="4"/>
      <c r="F25" s="4">
        <v>17470.81</v>
      </c>
      <c r="G25" s="4"/>
      <c r="H25" s="4"/>
      <c r="I25" s="4">
        <v>2177864</v>
      </c>
      <c r="J25" s="4">
        <v>1814002.95</v>
      </c>
      <c r="K25" s="57">
        <v>0</v>
      </c>
      <c r="L25" s="57">
        <f t="shared" si="4"/>
        <v>4.2259511662173175</v>
      </c>
      <c r="M25" s="58"/>
    </row>
    <row r="26" spans="1:13" ht="14.25" customHeight="1">
      <c r="A26" s="238">
        <v>700</v>
      </c>
      <c r="B26" s="5"/>
      <c r="C26" s="6"/>
      <c r="D26" s="7" t="s">
        <v>12</v>
      </c>
      <c r="E26" s="8" t="e">
        <f aca="true" t="shared" si="5" ref="E26:J26">E30+E27</f>
        <v>#REF!</v>
      </c>
      <c r="F26" s="8" t="e">
        <f t="shared" si="5"/>
        <v>#REF!</v>
      </c>
      <c r="G26" s="8" t="e">
        <f t="shared" si="5"/>
        <v>#REF!</v>
      </c>
      <c r="H26" s="8" t="e">
        <f t="shared" si="5"/>
        <v>#REF!</v>
      </c>
      <c r="I26" s="8">
        <f t="shared" si="5"/>
        <v>782435</v>
      </c>
      <c r="J26" s="8">
        <f t="shared" si="5"/>
        <v>886426</v>
      </c>
      <c r="K26" s="57">
        <f t="shared" si="2"/>
        <v>113.29068868340502</v>
      </c>
      <c r="L26" s="57">
        <f t="shared" si="4"/>
        <v>2.065042390623098</v>
      </c>
      <c r="M26" s="57" t="e">
        <f>(H26/E26)*100</f>
        <v>#REF!</v>
      </c>
    </row>
    <row r="27" spans="1:13" ht="14.25" customHeight="1">
      <c r="A27" s="239"/>
      <c r="B27" s="238" t="s">
        <v>190</v>
      </c>
      <c r="C27" s="6"/>
      <c r="D27" s="7" t="s">
        <v>192</v>
      </c>
      <c r="E27" s="8">
        <f aca="true" t="shared" si="6" ref="E27:J27">E28+E29</f>
        <v>155.15</v>
      </c>
      <c r="F27" s="8">
        <f t="shared" si="6"/>
        <v>300</v>
      </c>
      <c r="G27" s="8">
        <f t="shared" si="6"/>
        <v>300</v>
      </c>
      <c r="H27" s="8">
        <f t="shared" si="6"/>
        <v>182.99</v>
      </c>
      <c r="I27" s="8">
        <f t="shared" si="6"/>
        <v>250</v>
      </c>
      <c r="J27" s="8">
        <f t="shared" si="6"/>
        <v>400</v>
      </c>
      <c r="K27" s="57">
        <f t="shared" si="2"/>
        <v>160</v>
      </c>
      <c r="L27" s="57">
        <f t="shared" si="4"/>
        <v>0.0009318510019440306</v>
      </c>
      <c r="M27" s="57">
        <f>(H27/E27)*100</f>
        <v>117.94392523364485</v>
      </c>
    </row>
    <row r="28" spans="1:13" ht="21" customHeight="1">
      <c r="A28" s="239"/>
      <c r="B28" s="239"/>
      <c r="C28" s="6" t="s">
        <v>91</v>
      </c>
      <c r="D28" s="9" t="s">
        <v>437</v>
      </c>
      <c r="E28" s="4">
        <v>155.15</v>
      </c>
      <c r="F28" s="4">
        <v>200</v>
      </c>
      <c r="G28" s="4">
        <v>200</v>
      </c>
      <c r="H28" s="4">
        <v>182.99</v>
      </c>
      <c r="I28" s="4">
        <v>200</v>
      </c>
      <c r="J28" s="4">
        <v>300</v>
      </c>
      <c r="K28" s="57">
        <f t="shared" si="2"/>
        <v>150</v>
      </c>
      <c r="L28" s="57">
        <f t="shared" si="4"/>
        <v>0.0006988882514580229</v>
      </c>
      <c r="M28" s="58">
        <f>(H28/E28)*100</f>
        <v>117.94392523364485</v>
      </c>
    </row>
    <row r="29" spans="1:13" ht="11.25" customHeight="1">
      <c r="A29" s="239"/>
      <c r="B29" s="242"/>
      <c r="C29" s="6" t="s">
        <v>90</v>
      </c>
      <c r="D29" s="9" t="s">
        <v>194</v>
      </c>
      <c r="E29" s="4"/>
      <c r="F29" s="4">
        <v>100</v>
      </c>
      <c r="G29" s="4">
        <v>100</v>
      </c>
      <c r="H29" s="4"/>
      <c r="I29" s="4">
        <v>50</v>
      </c>
      <c r="J29" s="4">
        <v>100</v>
      </c>
      <c r="K29" s="57">
        <v>0</v>
      </c>
      <c r="L29" s="57">
        <f t="shared" si="4"/>
        <v>0.00023296275048600765</v>
      </c>
      <c r="M29" s="58"/>
    </row>
    <row r="30" spans="1:13" ht="13.5" customHeight="1">
      <c r="A30" s="239"/>
      <c r="B30" s="238">
        <v>70005</v>
      </c>
      <c r="C30" s="6"/>
      <c r="D30" s="7" t="s">
        <v>13</v>
      </c>
      <c r="E30" s="8" t="e">
        <f>E33+E37+E38+E35+E454+E39+#REF!+E34+E31+#REF!+E40+E32+E36</f>
        <v>#REF!</v>
      </c>
      <c r="F30" s="8" t="e">
        <f>F33+F37+F38+F35+F454+F39+#REF!+F34+F31+#REF!+F40+F32+F36</f>
        <v>#REF!</v>
      </c>
      <c r="G30" s="8" t="e">
        <f>G33+G37+G38+G35+G454+G39+#REF!+G34+G31+#REF!+G40+G32+G36</f>
        <v>#REF!</v>
      </c>
      <c r="H30" s="8" t="e">
        <f>H33+H37+H38+H35+H454+H39+#REF!+H34+H31+#REF!+H40+H32+H36</f>
        <v>#REF!</v>
      </c>
      <c r="I30" s="8">
        <f>I33+I37+I38+I35+I454+I39+I34+I31+I40+I32+I36</f>
        <v>782185</v>
      </c>
      <c r="J30" s="8">
        <f>J33+J37+J38+J35+J454+J39+J34+J31+J40+J32+J36</f>
        <v>886026</v>
      </c>
      <c r="K30" s="57">
        <f t="shared" si="2"/>
        <v>113.2757595709455</v>
      </c>
      <c r="L30" s="57">
        <f t="shared" si="4"/>
        <v>2.064110539621154</v>
      </c>
      <c r="M30" s="57" t="e">
        <f>(H30/E30)*100</f>
        <v>#REF!</v>
      </c>
    </row>
    <row r="31" spans="1:13" ht="20.25" customHeight="1">
      <c r="A31" s="239"/>
      <c r="B31" s="240"/>
      <c r="C31" s="6" t="s">
        <v>288</v>
      </c>
      <c r="D31" s="9" t="s">
        <v>289</v>
      </c>
      <c r="E31" s="4">
        <v>48021.75</v>
      </c>
      <c r="F31" s="4">
        <v>48000</v>
      </c>
      <c r="G31" s="4">
        <v>48000</v>
      </c>
      <c r="H31" s="4">
        <v>41813.52</v>
      </c>
      <c r="I31" s="4">
        <v>55000</v>
      </c>
      <c r="J31" s="4">
        <v>60000</v>
      </c>
      <c r="K31" s="57">
        <f t="shared" si="2"/>
        <v>109.09090909090908</v>
      </c>
      <c r="L31" s="57">
        <f t="shared" si="4"/>
        <v>0.13977765029160458</v>
      </c>
      <c r="M31" s="58">
        <f>(H31/E31)*100</f>
        <v>87.07204547939214</v>
      </c>
    </row>
    <row r="32" spans="1:13" ht="24" customHeight="1">
      <c r="A32" s="239"/>
      <c r="B32" s="240"/>
      <c r="C32" s="6" t="s">
        <v>323</v>
      </c>
      <c r="D32" s="9" t="s">
        <v>333</v>
      </c>
      <c r="E32" s="4"/>
      <c r="F32" s="4"/>
      <c r="G32" s="4">
        <v>100</v>
      </c>
      <c r="H32" s="4"/>
      <c r="I32" s="4">
        <v>200</v>
      </c>
      <c r="J32" s="4">
        <v>300</v>
      </c>
      <c r="K32" s="57">
        <f t="shared" si="2"/>
        <v>150</v>
      </c>
      <c r="L32" s="57">
        <f t="shared" si="4"/>
        <v>0.0006988882514580229</v>
      </c>
      <c r="M32" s="58"/>
    </row>
    <row r="33" spans="1:13" ht="21.75" customHeight="1">
      <c r="A33" s="239"/>
      <c r="B33" s="240"/>
      <c r="C33" s="6" t="s">
        <v>91</v>
      </c>
      <c r="D33" s="9" t="s">
        <v>437</v>
      </c>
      <c r="E33" s="4">
        <v>91921.35</v>
      </c>
      <c r="F33" s="4">
        <v>92000</v>
      </c>
      <c r="G33" s="4">
        <v>92000</v>
      </c>
      <c r="H33" s="4">
        <v>95947.99</v>
      </c>
      <c r="I33" s="4">
        <v>110000</v>
      </c>
      <c r="J33" s="4">
        <v>125000</v>
      </c>
      <c r="K33" s="57">
        <f t="shared" si="2"/>
        <v>113.63636363636364</v>
      </c>
      <c r="L33" s="57">
        <f t="shared" si="4"/>
        <v>0.2912034381075095</v>
      </c>
      <c r="M33" s="58">
        <f>(H33/E33)*100</f>
        <v>104.3805274835498</v>
      </c>
    </row>
    <row r="34" spans="1:13" ht="31.5" customHeight="1">
      <c r="A34" s="239"/>
      <c r="B34" s="240"/>
      <c r="C34" s="6" t="s">
        <v>258</v>
      </c>
      <c r="D34" s="9" t="s">
        <v>259</v>
      </c>
      <c r="E34" s="4"/>
      <c r="F34" s="4">
        <v>1000</v>
      </c>
      <c r="G34" s="4">
        <v>1000</v>
      </c>
      <c r="H34" s="4"/>
      <c r="I34" s="4"/>
      <c r="J34" s="4">
        <v>1000</v>
      </c>
      <c r="K34" s="57">
        <v>0</v>
      </c>
      <c r="L34" s="57">
        <f t="shared" si="4"/>
        <v>0.0023296275048600764</v>
      </c>
      <c r="M34" s="58"/>
    </row>
    <row r="35" spans="1:13" ht="23.25" customHeight="1">
      <c r="A35" s="239"/>
      <c r="B35" s="240"/>
      <c r="C35" s="6" t="s">
        <v>142</v>
      </c>
      <c r="D35" s="9" t="s">
        <v>143</v>
      </c>
      <c r="E35" s="4">
        <v>59428.72</v>
      </c>
      <c r="F35" s="4">
        <v>68000</v>
      </c>
      <c r="G35" s="4">
        <v>68000</v>
      </c>
      <c r="H35" s="4">
        <v>24266.98</v>
      </c>
      <c r="I35" s="4">
        <v>500000</v>
      </c>
      <c r="J35" s="4">
        <v>550000</v>
      </c>
      <c r="K35" s="57">
        <f t="shared" si="2"/>
        <v>110.00000000000001</v>
      </c>
      <c r="L35" s="57">
        <f t="shared" si="4"/>
        <v>1.281295127673042</v>
      </c>
      <c r="M35" s="58">
        <f>(H35/E35)*100</f>
        <v>40.83375849252685</v>
      </c>
    </row>
    <row r="36" spans="1:13" ht="17.25" customHeight="1">
      <c r="A36" s="239"/>
      <c r="B36" s="240"/>
      <c r="C36" s="6" t="s">
        <v>326</v>
      </c>
      <c r="D36" s="9" t="s">
        <v>334</v>
      </c>
      <c r="E36" s="4"/>
      <c r="F36" s="4"/>
      <c r="G36" s="4">
        <v>270</v>
      </c>
      <c r="H36" s="4">
        <v>305</v>
      </c>
      <c r="I36" s="4">
        <v>305</v>
      </c>
      <c r="J36" s="4">
        <v>1000</v>
      </c>
      <c r="K36" s="57">
        <f t="shared" si="2"/>
        <v>327.8688524590164</v>
      </c>
      <c r="L36" s="57">
        <f t="shared" si="4"/>
        <v>0.0023296275048600764</v>
      </c>
      <c r="M36" s="58"/>
    </row>
    <row r="37" spans="1:13" ht="13.5" customHeight="1">
      <c r="A37" s="239"/>
      <c r="B37" s="240"/>
      <c r="C37" s="6" t="s">
        <v>93</v>
      </c>
      <c r="D37" s="9" t="s">
        <v>16</v>
      </c>
      <c r="E37" s="4">
        <v>3006.3</v>
      </c>
      <c r="F37" s="4">
        <v>2000</v>
      </c>
      <c r="G37" s="4">
        <v>2000</v>
      </c>
      <c r="H37" s="4">
        <v>9648.21</v>
      </c>
      <c r="I37" s="4">
        <v>11000</v>
      </c>
      <c r="J37" s="4">
        <v>15000</v>
      </c>
      <c r="K37" s="57">
        <f t="shared" si="2"/>
        <v>136.36363636363635</v>
      </c>
      <c r="L37" s="57">
        <f t="shared" si="4"/>
        <v>0.034944412572901144</v>
      </c>
      <c r="M37" s="58"/>
    </row>
    <row r="38" spans="1:13" ht="12" customHeight="1">
      <c r="A38" s="239"/>
      <c r="B38" s="240"/>
      <c r="C38" s="6" t="s">
        <v>90</v>
      </c>
      <c r="D38" s="9" t="s">
        <v>7</v>
      </c>
      <c r="E38" s="4">
        <v>17989.11</v>
      </c>
      <c r="F38" s="4">
        <v>20000</v>
      </c>
      <c r="G38" s="4">
        <v>20000</v>
      </c>
      <c r="H38" s="4">
        <v>3472.66</v>
      </c>
      <c r="I38" s="4">
        <v>20000</v>
      </c>
      <c r="J38" s="4">
        <v>21000</v>
      </c>
      <c r="K38" s="57">
        <f t="shared" si="2"/>
        <v>105</v>
      </c>
      <c r="L38" s="57">
        <f t="shared" si="4"/>
        <v>0.0489221776020616</v>
      </c>
      <c r="M38" s="58">
        <f>(H38/E38)*100</f>
        <v>19.30423461749914</v>
      </c>
    </row>
    <row r="39" spans="1:13" ht="44.25" customHeight="1">
      <c r="A39" s="241"/>
      <c r="B39" s="241"/>
      <c r="C39" s="6" t="s">
        <v>193</v>
      </c>
      <c r="D39" s="9" t="s">
        <v>145</v>
      </c>
      <c r="E39" s="4"/>
      <c r="F39" s="4">
        <v>447294.5</v>
      </c>
      <c r="G39" s="4">
        <v>85680</v>
      </c>
      <c r="H39" s="4"/>
      <c r="I39" s="4">
        <v>85680</v>
      </c>
      <c r="J39" s="207">
        <v>12726</v>
      </c>
      <c r="K39" s="57">
        <v>0</v>
      </c>
      <c r="L39" s="57">
        <f t="shared" si="4"/>
        <v>0.02964683962684933</v>
      </c>
      <c r="M39" s="58"/>
    </row>
    <row r="40" spans="1:13" ht="45" customHeight="1">
      <c r="A40" s="242"/>
      <c r="B40" s="242"/>
      <c r="C40" s="6" t="s">
        <v>291</v>
      </c>
      <c r="D40" s="9" t="s">
        <v>304</v>
      </c>
      <c r="E40" s="4"/>
      <c r="F40" s="4">
        <v>3158.17</v>
      </c>
      <c r="G40" s="4"/>
      <c r="H40" s="4"/>
      <c r="I40" s="4"/>
      <c r="J40" s="207">
        <v>100000</v>
      </c>
      <c r="K40" s="57">
        <v>0</v>
      </c>
      <c r="L40" s="57">
        <f t="shared" si="4"/>
        <v>0.23296275048600765</v>
      </c>
      <c r="M40" s="58"/>
    </row>
    <row r="41" spans="1:13" ht="12.75" customHeight="1">
      <c r="A41" s="265">
        <v>710</v>
      </c>
      <c r="B41" s="5"/>
      <c r="C41" s="5"/>
      <c r="D41" s="7" t="s">
        <v>18</v>
      </c>
      <c r="E41" s="8">
        <f aca="true" t="shared" si="7" ref="E41:J42">E42</f>
        <v>5000</v>
      </c>
      <c r="F41" s="8">
        <f t="shared" si="7"/>
        <v>5000</v>
      </c>
      <c r="G41" s="8">
        <f t="shared" si="7"/>
        <v>3300</v>
      </c>
      <c r="H41" s="8">
        <f t="shared" si="7"/>
        <v>3300</v>
      </c>
      <c r="I41" s="8">
        <f t="shared" si="7"/>
        <v>3900</v>
      </c>
      <c r="J41" s="8">
        <f t="shared" si="7"/>
        <v>4000</v>
      </c>
      <c r="K41" s="57">
        <f t="shared" si="2"/>
        <v>102.56410256410255</v>
      </c>
      <c r="L41" s="57">
        <f t="shared" si="4"/>
        <v>0.009318510019440306</v>
      </c>
      <c r="M41" s="57">
        <f aca="true" t="shared" si="8" ref="M41:M47">(H41/E41)*100</f>
        <v>66</v>
      </c>
    </row>
    <row r="42" spans="1:13" ht="12" customHeight="1">
      <c r="A42" s="265"/>
      <c r="B42" s="5" t="s">
        <v>118</v>
      </c>
      <c r="C42" s="5"/>
      <c r="D42" s="7" t="s">
        <v>123</v>
      </c>
      <c r="E42" s="8">
        <f t="shared" si="7"/>
        <v>5000</v>
      </c>
      <c r="F42" s="8">
        <f t="shared" si="7"/>
        <v>5000</v>
      </c>
      <c r="G42" s="8">
        <f t="shared" si="7"/>
        <v>3300</v>
      </c>
      <c r="H42" s="8">
        <f t="shared" si="7"/>
        <v>3300</v>
      </c>
      <c r="I42" s="8">
        <f t="shared" si="7"/>
        <v>3900</v>
      </c>
      <c r="J42" s="8">
        <f t="shared" si="7"/>
        <v>4000</v>
      </c>
      <c r="K42" s="57">
        <f t="shared" si="2"/>
        <v>102.56410256410255</v>
      </c>
      <c r="L42" s="57">
        <f t="shared" si="4"/>
        <v>0.009318510019440306</v>
      </c>
      <c r="M42" s="57">
        <f t="shared" si="8"/>
        <v>66</v>
      </c>
    </row>
    <row r="43" spans="1:13" ht="42" customHeight="1">
      <c r="A43" s="270"/>
      <c r="B43" s="5"/>
      <c r="C43" s="6" t="s">
        <v>119</v>
      </c>
      <c r="D43" s="9" t="s">
        <v>124</v>
      </c>
      <c r="E43" s="4">
        <v>5000</v>
      </c>
      <c r="F43" s="56">
        <v>5000</v>
      </c>
      <c r="G43" s="4">
        <v>3300</v>
      </c>
      <c r="H43" s="4">
        <v>3300</v>
      </c>
      <c r="I43" s="4">
        <v>3900</v>
      </c>
      <c r="J43" s="4">
        <v>4000</v>
      </c>
      <c r="K43" s="57">
        <f t="shared" si="2"/>
        <v>102.56410256410255</v>
      </c>
      <c r="L43" s="57">
        <f t="shared" si="4"/>
        <v>0.009318510019440306</v>
      </c>
      <c r="M43" s="58">
        <f t="shared" si="8"/>
        <v>66</v>
      </c>
    </row>
    <row r="44" spans="1:13" ht="15" customHeight="1">
      <c r="A44" s="238">
        <v>750</v>
      </c>
      <c r="B44" s="5"/>
      <c r="C44" s="6"/>
      <c r="D44" s="7" t="s">
        <v>21</v>
      </c>
      <c r="E44" s="8" t="e">
        <f aca="true" t="shared" si="9" ref="E44:J44">E45+E47+E59+E54+E56</f>
        <v>#REF!</v>
      </c>
      <c r="F44" s="8" t="e">
        <f t="shared" si="9"/>
        <v>#REF!</v>
      </c>
      <c r="G44" s="8" t="e">
        <f t="shared" si="9"/>
        <v>#REF!</v>
      </c>
      <c r="H44" s="8" t="e">
        <f t="shared" si="9"/>
        <v>#REF!</v>
      </c>
      <c r="I44" s="8">
        <f t="shared" si="9"/>
        <v>71718</v>
      </c>
      <c r="J44" s="8">
        <f t="shared" si="9"/>
        <v>59423</v>
      </c>
      <c r="K44" s="57">
        <f t="shared" si="2"/>
        <v>82.8564656013832</v>
      </c>
      <c r="L44" s="57">
        <f t="shared" si="4"/>
        <v>0.1384334552213003</v>
      </c>
      <c r="M44" s="57" t="e">
        <f t="shared" si="8"/>
        <v>#REF!</v>
      </c>
    </row>
    <row r="45" spans="1:13" ht="15" customHeight="1">
      <c r="A45" s="239"/>
      <c r="B45" s="238">
        <v>75011</v>
      </c>
      <c r="C45" s="6"/>
      <c r="D45" s="7" t="s">
        <v>22</v>
      </c>
      <c r="E45" s="8" t="e">
        <f>E46+#REF!</f>
        <v>#REF!</v>
      </c>
      <c r="F45" s="8" t="e">
        <f>F46+#REF!</f>
        <v>#REF!</v>
      </c>
      <c r="G45" s="8" t="e">
        <f>G46+#REF!</f>
        <v>#REF!</v>
      </c>
      <c r="H45" s="8" t="e">
        <f>H46+#REF!</f>
        <v>#REF!</v>
      </c>
      <c r="I45" s="8">
        <f>I46</f>
        <v>50000</v>
      </c>
      <c r="J45" s="8">
        <f>J46</f>
        <v>46313</v>
      </c>
      <c r="K45" s="57">
        <f t="shared" si="2"/>
        <v>92.62599999999999</v>
      </c>
      <c r="L45" s="57">
        <f t="shared" si="4"/>
        <v>0.10789203863258472</v>
      </c>
      <c r="M45" s="57" t="e">
        <f t="shared" si="8"/>
        <v>#REF!</v>
      </c>
    </row>
    <row r="46" spans="1:13" ht="32.25" customHeight="1">
      <c r="A46" s="239"/>
      <c r="B46" s="239"/>
      <c r="C46" s="6">
        <v>2010</v>
      </c>
      <c r="D46" s="9" t="s">
        <v>445</v>
      </c>
      <c r="E46" s="4">
        <v>51767</v>
      </c>
      <c r="F46" s="4">
        <v>39763</v>
      </c>
      <c r="G46" s="4">
        <v>44763</v>
      </c>
      <c r="H46" s="4">
        <v>44763</v>
      </c>
      <c r="I46" s="4">
        <v>50000</v>
      </c>
      <c r="J46" s="4">
        <v>46313</v>
      </c>
      <c r="K46" s="57">
        <f t="shared" si="2"/>
        <v>92.62599999999999</v>
      </c>
      <c r="L46" s="57">
        <f t="shared" si="4"/>
        <v>0.10789203863258472</v>
      </c>
      <c r="M46" s="58">
        <f t="shared" si="8"/>
        <v>86.47014507311607</v>
      </c>
    </row>
    <row r="47" spans="1:13" ht="19.5" customHeight="1">
      <c r="A47" s="239"/>
      <c r="B47" s="238">
        <v>75023</v>
      </c>
      <c r="C47" s="6"/>
      <c r="D47" s="7" t="s">
        <v>24</v>
      </c>
      <c r="E47" s="8" t="e">
        <f>E49+E50+E52+E53+E51+#REF!+E48+#REF!</f>
        <v>#REF!</v>
      </c>
      <c r="F47" s="8" t="e">
        <f>F49+F50+F52+F53+F51+#REF!+F48+#REF!</f>
        <v>#REF!</v>
      </c>
      <c r="G47" s="8" t="e">
        <f>G49+G50+G52+G53+G51+#REF!+G48+#REF!</f>
        <v>#REF!</v>
      </c>
      <c r="H47" s="8" t="e">
        <f>H49+H50+H52+H53+H51+#REF!+H48+#REF!</f>
        <v>#REF!</v>
      </c>
      <c r="I47" s="8">
        <f>I49+I50+I52+I53+I51+I48</f>
        <v>10960</v>
      </c>
      <c r="J47" s="8">
        <f>J49+J50+J52+J53+J51+J48</f>
        <v>12900</v>
      </c>
      <c r="K47" s="57">
        <f t="shared" si="2"/>
        <v>117.7007299270073</v>
      </c>
      <c r="L47" s="57">
        <f t="shared" si="4"/>
        <v>0.03005219481269498</v>
      </c>
      <c r="M47" s="57" t="e">
        <f t="shared" si="8"/>
        <v>#REF!</v>
      </c>
    </row>
    <row r="48" spans="1:13" ht="12.75" customHeight="1">
      <c r="A48" s="239"/>
      <c r="B48" s="239"/>
      <c r="C48" s="6" t="s">
        <v>95</v>
      </c>
      <c r="D48" s="9" t="s">
        <v>20</v>
      </c>
      <c r="E48" s="4"/>
      <c r="F48" s="4"/>
      <c r="G48" s="4">
        <v>50</v>
      </c>
      <c r="H48" s="4">
        <v>9.8</v>
      </c>
      <c r="I48" s="4">
        <v>300</v>
      </c>
      <c r="J48" s="4">
        <v>350</v>
      </c>
      <c r="K48" s="57">
        <f t="shared" si="2"/>
        <v>116.66666666666667</v>
      </c>
      <c r="L48" s="57">
        <f t="shared" si="4"/>
        <v>0.0008153696267010267</v>
      </c>
      <c r="M48" s="57"/>
    </row>
    <row r="49" spans="1:13" ht="21" customHeight="1">
      <c r="A49" s="239"/>
      <c r="B49" s="240"/>
      <c r="C49" s="6" t="s">
        <v>91</v>
      </c>
      <c r="D49" s="9" t="s">
        <v>437</v>
      </c>
      <c r="E49" s="4">
        <v>200</v>
      </c>
      <c r="F49" s="4">
        <v>500</v>
      </c>
      <c r="G49" s="4">
        <v>500</v>
      </c>
      <c r="H49" s="4">
        <v>712.6</v>
      </c>
      <c r="I49" s="4">
        <v>800</v>
      </c>
      <c r="J49" s="4">
        <v>1000</v>
      </c>
      <c r="K49" s="57">
        <f t="shared" si="2"/>
        <v>125</v>
      </c>
      <c r="L49" s="57">
        <f t="shared" si="4"/>
        <v>0.0023296275048600764</v>
      </c>
      <c r="M49" s="57"/>
    </row>
    <row r="50" spans="1:13" ht="21" customHeight="1">
      <c r="A50" s="239"/>
      <c r="B50" s="240"/>
      <c r="C50" s="6" t="s">
        <v>97</v>
      </c>
      <c r="D50" s="9" t="s">
        <v>26</v>
      </c>
      <c r="E50" s="4">
        <v>7973.73</v>
      </c>
      <c r="F50" s="4">
        <v>8000</v>
      </c>
      <c r="G50" s="4">
        <v>8000</v>
      </c>
      <c r="H50" s="4">
        <v>7209.04</v>
      </c>
      <c r="I50" s="4">
        <v>9000</v>
      </c>
      <c r="J50" s="4">
        <v>10000</v>
      </c>
      <c r="K50" s="57">
        <f t="shared" si="2"/>
        <v>111.11111111111111</v>
      </c>
      <c r="L50" s="57">
        <f t="shared" si="4"/>
        <v>0.02329627504860076</v>
      </c>
      <c r="M50" s="58">
        <f>(H50/E50)*100</f>
        <v>90.40988345479468</v>
      </c>
    </row>
    <row r="51" spans="1:13" ht="12.75">
      <c r="A51" s="239"/>
      <c r="B51" s="240"/>
      <c r="C51" s="212" t="s">
        <v>325</v>
      </c>
      <c r="D51" s="9" t="s">
        <v>330</v>
      </c>
      <c r="E51" s="4"/>
      <c r="F51" s="4"/>
      <c r="G51" s="4"/>
      <c r="H51" s="4">
        <v>200</v>
      </c>
      <c r="I51" s="4">
        <v>250</v>
      </c>
      <c r="J51" s="4">
        <v>500</v>
      </c>
      <c r="K51" s="57">
        <f t="shared" si="2"/>
        <v>200</v>
      </c>
      <c r="L51" s="57">
        <f t="shared" si="4"/>
        <v>0.0011648137524300382</v>
      </c>
      <c r="M51" s="58"/>
    </row>
    <row r="52" spans="1:13" ht="12.75" customHeight="1">
      <c r="A52" s="239"/>
      <c r="B52" s="240"/>
      <c r="C52" s="6" t="s">
        <v>90</v>
      </c>
      <c r="D52" s="9" t="s">
        <v>7</v>
      </c>
      <c r="E52" s="4">
        <v>1007.48</v>
      </c>
      <c r="F52" s="4">
        <v>1000</v>
      </c>
      <c r="G52" s="4">
        <v>1000</v>
      </c>
      <c r="H52" s="4">
        <v>363.33</v>
      </c>
      <c r="I52" s="4">
        <v>600</v>
      </c>
      <c r="J52" s="4">
        <v>1000</v>
      </c>
      <c r="K52" s="57">
        <v>0</v>
      </c>
      <c r="L52" s="57">
        <f t="shared" si="4"/>
        <v>0.0023296275048600764</v>
      </c>
      <c r="M52" s="58"/>
    </row>
    <row r="53" spans="1:13" ht="32.25" customHeight="1">
      <c r="A53" s="239"/>
      <c r="B53" s="240"/>
      <c r="C53" s="6">
        <v>2360</v>
      </c>
      <c r="D53" s="9" t="s">
        <v>125</v>
      </c>
      <c r="E53" s="4">
        <v>20.15</v>
      </c>
      <c r="F53" s="4">
        <v>12</v>
      </c>
      <c r="G53" s="4">
        <v>12</v>
      </c>
      <c r="H53" s="4">
        <v>6.2</v>
      </c>
      <c r="I53" s="4">
        <v>10</v>
      </c>
      <c r="J53" s="4">
        <v>50</v>
      </c>
      <c r="K53" s="57">
        <f t="shared" si="2"/>
        <v>500</v>
      </c>
      <c r="L53" s="57">
        <f t="shared" si="4"/>
        <v>0.00011648137524300382</v>
      </c>
      <c r="M53" s="58">
        <f>(H53/E53)*100</f>
        <v>30.76923076923077</v>
      </c>
    </row>
    <row r="54" spans="1:13" ht="13.5" customHeight="1">
      <c r="A54" s="239"/>
      <c r="B54" s="341">
        <v>75075</v>
      </c>
      <c r="C54" s="6"/>
      <c r="D54" s="7" t="s">
        <v>335</v>
      </c>
      <c r="E54" s="4">
        <f aca="true" t="shared" si="10" ref="E54:J54">E55</f>
        <v>0</v>
      </c>
      <c r="F54" s="4">
        <f t="shared" si="10"/>
        <v>0</v>
      </c>
      <c r="G54" s="4">
        <f t="shared" si="10"/>
        <v>10000</v>
      </c>
      <c r="H54" s="4">
        <f t="shared" si="10"/>
        <v>10000</v>
      </c>
      <c r="I54" s="4">
        <f t="shared" si="10"/>
        <v>10000</v>
      </c>
      <c r="J54" s="4">
        <f t="shared" si="10"/>
        <v>0</v>
      </c>
      <c r="K54" s="57">
        <f t="shared" si="2"/>
        <v>0</v>
      </c>
      <c r="L54" s="57">
        <f t="shared" si="4"/>
        <v>0</v>
      </c>
      <c r="M54" s="58"/>
    </row>
    <row r="55" spans="1:13" ht="42" customHeight="1">
      <c r="A55" s="239"/>
      <c r="B55" s="333"/>
      <c r="C55" s="6" t="s">
        <v>327</v>
      </c>
      <c r="D55" s="9" t="s">
        <v>336</v>
      </c>
      <c r="E55" s="4"/>
      <c r="F55" s="4"/>
      <c r="G55" s="4">
        <v>10000</v>
      </c>
      <c r="H55" s="4">
        <v>10000</v>
      </c>
      <c r="I55" s="207">
        <v>10000</v>
      </c>
      <c r="J55" s="4"/>
      <c r="K55" s="57">
        <f t="shared" si="2"/>
        <v>0</v>
      </c>
      <c r="L55" s="57">
        <f t="shared" si="4"/>
        <v>0</v>
      </c>
      <c r="M55" s="58"/>
    </row>
    <row r="56" spans="1:13" ht="23.25" customHeight="1">
      <c r="A56" s="239"/>
      <c r="B56" s="341">
        <v>75085</v>
      </c>
      <c r="C56" s="6"/>
      <c r="D56" s="7" t="s">
        <v>337</v>
      </c>
      <c r="E56" s="4">
        <f aca="true" t="shared" si="11" ref="E56:J56">E57+E58</f>
        <v>0</v>
      </c>
      <c r="F56" s="4">
        <f t="shared" si="11"/>
        <v>0</v>
      </c>
      <c r="G56" s="4">
        <f t="shared" si="11"/>
        <v>450</v>
      </c>
      <c r="H56" s="4">
        <f t="shared" si="11"/>
        <v>372.24</v>
      </c>
      <c r="I56" s="4">
        <f t="shared" si="11"/>
        <v>750</v>
      </c>
      <c r="J56" s="4">
        <f t="shared" si="11"/>
        <v>200</v>
      </c>
      <c r="K56" s="57">
        <f t="shared" si="2"/>
        <v>26.666666666666668</v>
      </c>
      <c r="L56" s="57">
        <f t="shared" si="4"/>
        <v>0.0004659255009720153</v>
      </c>
      <c r="M56" s="58"/>
    </row>
    <row r="57" spans="1:13" ht="15" customHeight="1">
      <c r="A57" s="239"/>
      <c r="B57" s="342"/>
      <c r="C57" s="6" t="s">
        <v>93</v>
      </c>
      <c r="D57" s="9" t="s">
        <v>338</v>
      </c>
      <c r="E57" s="4"/>
      <c r="F57" s="4"/>
      <c r="G57" s="4">
        <v>300</v>
      </c>
      <c r="H57" s="4">
        <v>261.33</v>
      </c>
      <c r="I57" s="4">
        <v>650</v>
      </c>
      <c r="J57" s="4">
        <v>100</v>
      </c>
      <c r="K57" s="57">
        <f t="shared" si="2"/>
        <v>15.384615384615385</v>
      </c>
      <c r="L57" s="57">
        <f t="shared" si="4"/>
        <v>0.00023296275048600765</v>
      </c>
      <c r="M57" s="58"/>
    </row>
    <row r="58" spans="1:13" ht="12" customHeight="1">
      <c r="A58" s="239"/>
      <c r="B58" s="333"/>
      <c r="C58" s="6" t="s">
        <v>90</v>
      </c>
      <c r="D58" s="9" t="s">
        <v>7</v>
      </c>
      <c r="E58" s="4"/>
      <c r="F58" s="4"/>
      <c r="G58" s="4">
        <v>150</v>
      </c>
      <c r="H58" s="4">
        <v>110.91</v>
      </c>
      <c r="I58" s="4">
        <v>100</v>
      </c>
      <c r="J58" s="4">
        <v>100</v>
      </c>
      <c r="K58" s="57">
        <f t="shared" si="2"/>
        <v>100</v>
      </c>
      <c r="L58" s="57">
        <f t="shared" si="4"/>
        <v>0.00023296275048600765</v>
      </c>
      <c r="M58" s="58"/>
    </row>
    <row r="59" spans="1:13" ht="11.25" customHeight="1">
      <c r="A59" s="241"/>
      <c r="B59" s="280">
        <v>75095</v>
      </c>
      <c r="C59" s="5"/>
      <c r="D59" s="7" t="s">
        <v>8</v>
      </c>
      <c r="E59" s="8" t="e">
        <f>#REF!+#REF!+E60</f>
        <v>#REF!</v>
      </c>
      <c r="F59" s="8" t="e">
        <f>#REF!+#REF!+F60</f>
        <v>#REF!</v>
      </c>
      <c r="G59" s="8" t="e">
        <f>#REF!+#REF!+G60</f>
        <v>#REF!</v>
      </c>
      <c r="H59" s="8" t="e">
        <f>#REF!+#REF!+H60</f>
        <v>#REF!</v>
      </c>
      <c r="I59" s="8">
        <f>I60</f>
        <v>8</v>
      </c>
      <c r="J59" s="8">
        <f>J60</f>
        <v>10</v>
      </c>
      <c r="K59" s="57">
        <f t="shared" si="2"/>
        <v>125</v>
      </c>
      <c r="L59" s="57">
        <f t="shared" si="4"/>
        <v>2.3296275048600763E-05</v>
      </c>
      <c r="M59" s="57"/>
    </row>
    <row r="60" spans="1:13" ht="13.5" customHeight="1">
      <c r="A60" s="241"/>
      <c r="B60" s="281"/>
      <c r="C60" s="6" t="s">
        <v>325</v>
      </c>
      <c r="D60" s="9" t="s">
        <v>339</v>
      </c>
      <c r="E60" s="4"/>
      <c r="F60" s="4"/>
      <c r="G60" s="4">
        <v>10</v>
      </c>
      <c r="H60" s="4">
        <v>7.11</v>
      </c>
      <c r="I60" s="4">
        <v>8</v>
      </c>
      <c r="J60" s="4">
        <v>10</v>
      </c>
      <c r="K60" s="57">
        <f t="shared" si="2"/>
        <v>125</v>
      </c>
      <c r="L60" s="57">
        <f t="shared" si="4"/>
        <v>2.3296275048600763E-05</v>
      </c>
      <c r="M60" s="58"/>
    </row>
    <row r="61" spans="1:13" ht="21" customHeight="1">
      <c r="A61" s="238" t="s">
        <v>256</v>
      </c>
      <c r="B61" s="5"/>
      <c r="C61" s="6"/>
      <c r="D61" s="7" t="s">
        <v>27</v>
      </c>
      <c r="E61" s="8">
        <f aca="true" t="shared" si="12" ref="E61:J62">E62</f>
        <v>7362.55</v>
      </c>
      <c r="F61" s="8">
        <f t="shared" si="12"/>
        <v>1600</v>
      </c>
      <c r="G61" s="8">
        <f t="shared" si="12"/>
        <v>1600</v>
      </c>
      <c r="H61" s="8">
        <f t="shared" si="12"/>
        <v>1201</v>
      </c>
      <c r="I61" s="8">
        <f>I62+I64</f>
        <v>41640</v>
      </c>
      <c r="J61" s="8">
        <f>J62+J64</f>
        <v>1600</v>
      </c>
      <c r="K61" s="57">
        <f t="shared" si="2"/>
        <v>3.842459173871278</v>
      </c>
      <c r="L61" s="57">
        <f t="shared" si="4"/>
        <v>0.0037274040077761223</v>
      </c>
      <c r="M61" s="58">
        <f>(H61/E61)*100</f>
        <v>16.3122831084339</v>
      </c>
    </row>
    <row r="62" spans="1:13" ht="33" customHeight="1">
      <c r="A62" s="239"/>
      <c r="B62" s="238">
        <v>75101</v>
      </c>
      <c r="C62" s="6"/>
      <c r="D62" s="7" t="s">
        <v>441</v>
      </c>
      <c r="E62" s="8">
        <f t="shared" si="12"/>
        <v>7362.55</v>
      </c>
      <c r="F62" s="8">
        <f t="shared" si="12"/>
        <v>1600</v>
      </c>
      <c r="G62" s="8">
        <f t="shared" si="12"/>
        <v>1600</v>
      </c>
      <c r="H62" s="8">
        <f t="shared" si="12"/>
        <v>1201</v>
      </c>
      <c r="I62" s="8">
        <f t="shared" si="12"/>
        <v>1600</v>
      </c>
      <c r="J62" s="8">
        <f t="shared" si="12"/>
        <v>1600</v>
      </c>
      <c r="K62" s="57">
        <f t="shared" si="2"/>
        <v>100</v>
      </c>
      <c r="L62" s="57">
        <f t="shared" si="4"/>
        <v>0.0037274040077761223</v>
      </c>
      <c r="M62" s="57"/>
    </row>
    <row r="63" spans="1:13" ht="45" customHeight="1">
      <c r="A63" s="239"/>
      <c r="B63" s="335"/>
      <c r="C63" s="6">
        <v>2010</v>
      </c>
      <c r="D63" s="9" t="s">
        <v>442</v>
      </c>
      <c r="E63" s="4">
        <v>7362.55</v>
      </c>
      <c r="F63" s="4">
        <v>1600</v>
      </c>
      <c r="G63" s="4">
        <v>1600</v>
      </c>
      <c r="H63" s="4">
        <v>1201</v>
      </c>
      <c r="I63" s="4">
        <v>1600</v>
      </c>
      <c r="J63" s="4">
        <v>1600</v>
      </c>
      <c r="K63" s="57">
        <f aca="true" t="shared" si="13" ref="K63:K124">J63/I63*100</f>
        <v>100</v>
      </c>
      <c r="L63" s="57">
        <f t="shared" si="4"/>
        <v>0.0037274040077761223</v>
      </c>
      <c r="M63" s="58"/>
    </row>
    <row r="64" spans="1:13" ht="42.75" customHeight="1">
      <c r="A64" s="128"/>
      <c r="B64" s="124" t="s">
        <v>409</v>
      </c>
      <c r="C64" s="5"/>
      <c r="D64" s="7" t="s">
        <v>446</v>
      </c>
      <c r="E64" s="8"/>
      <c r="F64" s="8"/>
      <c r="G64" s="8"/>
      <c r="H64" s="8"/>
      <c r="I64" s="8">
        <f>I65</f>
        <v>40040</v>
      </c>
      <c r="J64" s="8">
        <f>J65</f>
        <v>0</v>
      </c>
      <c r="K64" s="8">
        <f>K65</f>
        <v>0</v>
      </c>
      <c r="L64" s="57"/>
      <c r="M64" s="58"/>
    </row>
    <row r="65" spans="1:13" ht="42" customHeight="1">
      <c r="A65" s="128"/>
      <c r="B65" s="124"/>
      <c r="C65" s="6" t="s">
        <v>117</v>
      </c>
      <c r="D65" s="9" t="s">
        <v>442</v>
      </c>
      <c r="E65" s="4"/>
      <c r="F65" s="4"/>
      <c r="G65" s="4"/>
      <c r="H65" s="4"/>
      <c r="I65" s="4">
        <v>40040</v>
      </c>
      <c r="J65" s="4">
        <v>0</v>
      </c>
      <c r="K65" s="8">
        <f>J65/I65</f>
        <v>0</v>
      </c>
      <c r="L65" s="57"/>
      <c r="M65" s="58"/>
    </row>
    <row r="66" spans="1:13" ht="24.75" customHeight="1">
      <c r="A66" s="238">
        <v>754</v>
      </c>
      <c r="B66" s="5"/>
      <c r="C66" s="6"/>
      <c r="D66" s="7" t="s">
        <v>447</v>
      </c>
      <c r="E66" s="8" t="e">
        <f aca="true" t="shared" si="14" ref="E66:J66">E67+E72</f>
        <v>#REF!</v>
      </c>
      <c r="F66" s="8" t="e">
        <f t="shared" si="14"/>
        <v>#REF!</v>
      </c>
      <c r="G66" s="8" t="e">
        <f t="shared" si="14"/>
        <v>#REF!</v>
      </c>
      <c r="H66" s="8" t="e">
        <f t="shared" si="14"/>
        <v>#REF!</v>
      </c>
      <c r="I66" s="8">
        <f t="shared" si="14"/>
        <v>238027.04</v>
      </c>
      <c r="J66" s="8">
        <f t="shared" si="14"/>
        <v>445000</v>
      </c>
      <c r="K66" s="57">
        <f t="shared" si="13"/>
        <v>186.9535494790844</v>
      </c>
      <c r="L66" s="57">
        <f>(J66/$J$236)*100</f>
        <v>1.036684239662734</v>
      </c>
      <c r="M66" s="58"/>
    </row>
    <row r="67" spans="1:13" ht="12.75" customHeight="1">
      <c r="A67" s="239"/>
      <c r="B67" s="238" t="s">
        <v>260</v>
      </c>
      <c r="C67" s="6"/>
      <c r="D67" s="7" t="s">
        <v>261</v>
      </c>
      <c r="E67" s="8" t="e">
        <f>#REF!+#REF!+E70+E71+E69</f>
        <v>#REF!</v>
      </c>
      <c r="F67" s="8" t="e">
        <f>#REF!+#REF!+F70+F71+F69</f>
        <v>#REF!</v>
      </c>
      <c r="G67" s="8" t="e">
        <f>#REF!+#REF!+G70+G71+G69</f>
        <v>#REF!</v>
      </c>
      <c r="H67" s="8" t="e">
        <f>#REF!+#REF!+H70+H71+H69</f>
        <v>#REF!</v>
      </c>
      <c r="I67" s="8">
        <f>I70+I71+I69</f>
        <v>138027.04</v>
      </c>
      <c r="J67" s="8">
        <f>J70+J71+J69</f>
        <v>445000</v>
      </c>
      <c r="K67" s="57">
        <f t="shared" si="13"/>
        <v>322.40059628895904</v>
      </c>
      <c r="L67" s="57">
        <f>(J67/$J$236)*100</f>
        <v>1.036684239662734</v>
      </c>
      <c r="M67" s="58"/>
    </row>
    <row r="68" spans="1:13" ht="34.5" customHeight="1">
      <c r="A68" s="239"/>
      <c r="B68" s="239"/>
      <c r="C68" s="6" t="s">
        <v>413</v>
      </c>
      <c r="D68" s="9" t="s">
        <v>448</v>
      </c>
      <c r="E68" s="8"/>
      <c r="F68" s="8"/>
      <c r="G68" s="8"/>
      <c r="H68" s="8"/>
      <c r="I68" s="4">
        <v>50863.23</v>
      </c>
      <c r="J68" s="8"/>
      <c r="K68" s="57"/>
      <c r="L68" s="57"/>
      <c r="M68" s="58"/>
    </row>
    <row r="69" spans="1:13" ht="44.25" customHeight="1">
      <c r="A69" s="239"/>
      <c r="B69" s="239"/>
      <c r="C69" s="6" t="s">
        <v>248</v>
      </c>
      <c r="D69" s="9" t="s">
        <v>360</v>
      </c>
      <c r="E69" s="4"/>
      <c r="F69" s="4"/>
      <c r="G69" s="4"/>
      <c r="H69" s="4">
        <v>6027.04</v>
      </c>
      <c r="I69" s="4">
        <v>6027.04</v>
      </c>
      <c r="J69" s="4"/>
      <c r="K69" s="57">
        <f t="shared" si="13"/>
        <v>0</v>
      </c>
      <c r="L69" s="57">
        <f aca="true" t="shared" si="15" ref="L69:L74">(J69/$J$236)*100</f>
        <v>0</v>
      </c>
      <c r="M69" s="58"/>
    </row>
    <row r="70" spans="1:13" ht="46.5" customHeight="1">
      <c r="A70" s="239"/>
      <c r="B70" s="239"/>
      <c r="C70" s="6" t="s">
        <v>193</v>
      </c>
      <c r="D70" s="9" t="s">
        <v>145</v>
      </c>
      <c r="E70" s="4"/>
      <c r="F70" s="4">
        <v>103700</v>
      </c>
      <c r="G70" s="4"/>
      <c r="H70" s="4"/>
      <c r="I70" s="4"/>
      <c r="J70" s="4">
        <v>425000</v>
      </c>
      <c r="K70" s="57">
        <v>0</v>
      </c>
      <c r="L70" s="57">
        <f t="shared" si="15"/>
        <v>0.9900916895655323</v>
      </c>
      <c r="M70" s="58"/>
    </row>
    <row r="71" spans="1:13" ht="49.5" customHeight="1">
      <c r="A71" s="239"/>
      <c r="B71" s="239"/>
      <c r="C71" s="6" t="s">
        <v>291</v>
      </c>
      <c r="D71" s="9" t="s">
        <v>304</v>
      </c>
      <c r="E71" s="4"/>
      <c r="F71" s="4">
        <v>1820.4</v>
      </c>
      <c r="G71" s="4"/>
      <c r="H71" s="4"/>
      <c r="I71" s="4">
        <v>132000</v>
      </c>
      <c r="J71" s="4">
        <v>20000</v>
      </c>
      <c r="K71" s="57">
        <v>0</v>
      </c>
      <c r="L71" s="57">
        <f t="shared" si="15"/>
        <v>0.04659255009720152</v>
      </c>
      <c r="M71" s="58"/>
    </row>
    <row r="72" spans="1:13" ht="14.25" customHeight="1">
      <c r="A72" s="241"/>
      <c r="B72" s="238" t="s">
        <v>328</v>
      </c>
      <c r="C72" s="6"/>
      <c r="D72" s="7" t="s">
        <v>8</v>
      </c>
      <c r="E72" s="8">
        <f aca="true" t="shared" si="16" ref="E72:J72">E73+E74</f>
        <v>75000</v>
      </c>
      <c r="F72" s="8">
        <f t="shared" si="16"/>
        <v>0</v>
      </c>
      <c r="G72" s="8">
        <f t="shared" si="16"/>
        <v>100000</v>
      </c>
      <c r="H72" s="8">
        <f t="shared" si="16"/>
        <v>100000</v>
      </c>
      <c r="I72" s="8">
        <f t="shared" si="16"/>
        <v>100000</v>
      </c>
      <c r="J72" s="8">
        <f t="shared" si="16"/>
        <v>0</v>
      </c>
      <c r="K72" s="57">
        <f t="shared" si="13"/>
        <v>0</v>
      </c>
      <c r="L72" s="57">
        <f t="shared" si="15"/>
        <v>0</v>
      </c>
      <c r="M72" s="58"/>
    </row>
    <row r="73" spans="1:13" ht="45.75" customHeight="1">
      <c r="A73" s="241"/>
      <c r="B73" s="239"/>
      <c r="C73" s="6" t="s">
        <v>119</v>
      </c>
      <c r="D73" s="9" t="s">
        <v>124</v>
      </c>
      <c r="E73" s="4">
        <v>62553</v>
      </c>
      <c r="F73" s="4"/>
      <c r="G73" s="4"/>
      <c r="H73" s="4">
        <v>100000</v>
      </c>
      <c r="I73" s="4">
        <v>100000</v>
      </c>
      <c r="J73" s="4"/>
      <c r="K73" s="57">
        <f t="shared" si="13"/>
        <v>0</v>
      </c>
      <c r="L73" s="57">
        <f t="shared" si="15"/>
        <v>0</v>
      </c>
      <c r="M73" s="58"/>
    </row>
    <row r="74" spans="1:13" ht="12.75" hidden="1">
      <c r="A74" s="242"/>
      <c r="B74" s="335"/>
      <c r="C74" s="6" t="s">
        <v>346</v>
      </c>
      <c r="D74" s="9"/>
      <c r="E74" s="4">
        <v>12447</v>
      </c>
      <c r="F74" s="4"/>
      <c r="G74" s="4">
        <v>100000</v>
      </c>
      <c r="H74" s="4"/>
      <c r="I74" s="4"/>
      <c r="J74" s="4"/>
      <c r="K74" s="57" t="e">
        <f t="shared" si="13"/>
        <v>#DIV/0!</v>
      </c>
      <c r="L74" s="57">
        <f t="shared" si="15"/>
        <v>0</v>
      </c>
      <c r="M74" s="58"/>
    </row>
    <row r="75" spans="1:13" ht="40.5" customHeight="1">
      <c r="A75" s="265">
        <v>756</v>
      </c>
      <c r="B75" s="5"/>
      <c r="C75" s="6"/>
      <c r="D75" s="7" t="s">
        <v>82</v>
      </c>
      <c r="E75" s="8" t="e">
        <f aca="true" t="shared" si="17" ref="E75:J75">E76+E78+E86+E99+E104</f>
        <v>#REF!</v>
      </c>
      <c r="F75" s="8" t="e">
        <f t="shared" si="17"/>
        <v>#REF!</v>
      </c>
      <c r="G75" s="8" t="e">
        <f t="shared" si="17"/>
        <v>#REF!</v>
      </c>
      <c r="H75" s="8" t="e">
        <f t="shared" si="17"/>
        <v>#REF!</v>
      </c>
      <c r="I75" s="8">
        <f t="shared" si="17"/>
        <v>8333808.04</v>
      </c>
      <c r="J75" s="8">
        <f t="shared" si="17"/>
        <v>9337783.11</v>
      </c>
      <c r="K75" s="57">
        <f t="shared" si="13"/>
        <v>112.04701458422362</v>
      </c>
      <c r="L75" s="57">
        <f aca="true" t="shared" si="18" ref="L75:L140">(J75/$J$236)*100</f>
        <v>21.753556367473863</v>
      </c>
      <c r="M75" s="57" t="e">
        <f aca="true" t="shared" si="19" ref="M75:M131">(H75/E75)*100</f>
        <v>#REF!</v>
      </c>
    </row>
    <row r="76" spans="1:13" ht="22.5" customHeight="1">
      <c r="A76" s="265"/>
      <c r="B76" s="238">
        <v>75601</v>
      </c>
      <c r="C76" s="6"/>
      <c r="D76" s="7" t="s">
        <v>426</v>
      </c>
      <c r="E76" s="8">
        <f aca="true" t="shared" si="20" ref="E76:J76">E77</f>
        <v>7054.05</v>
      </c>
      <c r="F76" s="8">
        <f t="shared" si="20"/>
        <v>7000</v>
      </c>
      <c r="G76" s="8">
        <f t="shared" si="20"/>
        <v>7000</v>
      </c>
      <c r="H76" s="8">
        <f t="shared" si="20"/>
        <v>4128.18</v>
      </c>
      <c r="I76" s="8">
        <f t="shared" si="20"/>
        <v>4500</v>
      </c>
      <c r="J76" s="8">
        <f t="shared" si="20"/>
        <v>5000</v>
      </c>
      <c r="K76" s="57">
        <f t="shared" si="13"/>
        <v>111.11111111111111</v>
      </c>
      <c r="L76" s="57">
        <f t="shared" si="18"/>
        <v>0.01164813752430038</v>
      </c>
      <c r="M76" s="57">
        <f t="shared" si="19"/>
        <v>58.5221255874285</v>
      </c>
    </row>
    <row r="77" spans="1:13" ht="24" customHeight="1">
      <c r="A77" s="265"/>
      <c r="B77" s="241"/>
      <c r="C77" s="6" t="s">
        <v>98</v>
      </c>
      <c r="D77" s="9" t="s">
        <v>456</v>
      </c>
      <c r="E77" s="4">
        <v>7054.05</v>
      </c>
      <c r="F77" s="4">
        <v>7000</v>
      </c>
      <c r="G77" s="4">
        <v>7000</v>
      </c>
      <c r="H77" s="4">
        <v>4128.18</v>
      </c>
      <c r="I77" s="4">
        <v>4500</v>
      </c>
      <c r="J77" s="4">
        <v>5000</v>
      </c>
      <c r="K77" s="57">
        <f t="shared" si="13"/>
        <v>111.11111111111111</v>
      </c>
      <c r="L77" s="57">
        <f t="shared" si="18"/>
        <v>0.01164813752430038</v>
      </c>
      <c r="M77" s="58">
        <f t="shared" si="19"/>
        <v>58.5221255874285</v>
      </c>
    </row>
    <row r="78" spans="1:13" ht="45.75" customHeight="1">
      <c r="A78" s="265"/>
      <c r="B78" s="238">
        <v>75615</v>
      </c>
      <c r="C78" s="6"/>
      <c r="D78" s="7" t="s">
        <v>449</v>
      </c>
      <c r="E78" s="8" t="e">
        <f>E79+E80+E81+E82+E84+E85+#REF!+#REF!+E83</f>
        <v>#REF!</v>
      </c>
      <c r="F78" s="8" t="e">
        <f>F79+F80+F81+F82+F84+F85+#REF!+#REF!+F83</f>
        <v>#REF!</v>
      </c>
      <c r="G78" s="8" t="e">
        <f>G79+G80+G81+G82+G84+G85+#REF!+#REF!+G83</f>
        <v>#REF!</v>
      </c>
      <c r="H78" s="8" t="e">
        <f>H79+H80+H81+H82+H84+H85+#REF!+#REF!+H83</f>
        <v>#REF!</v>
      </c>
      <c r="I78" s="8">
        <f>I79+I80+I81+I82+I84+I85+I83</f>
        <v>1525595</v>
      </c>
      <c r="J78" s="8">
        <f>J79+J80+J81+J82+J84+J85+J83</f>
        <v>1833854</v>
      </c>
      <c r="K78" s="57">
        <f t="shared" si="13"/>
        <v>120.20582133528231</v>
      </c>
      <c r="L78" s="57">
        <f t="shared" si="18"/>
        <v>4.27219671829767</v>
      </c>
      <c r="M78" s="57" t="e">
        <f t="shared" si="19"/>
        <v>#REF!</v>
      </c>
    </row>
    <row r="79" spans="1:13" ht="10.5" customHeight="1">
      <c r="A79" s="265"/>
      <c r="B79" s="241"/>
      <c r="C79" s="6" t="s">
        <v>100</v>
      </c>
      <c r="D79" s="9" t="s">
        <v>450</v>
      </c>
      <c r="E79" s="4">
        <v>1203536.91</v>
      </c>
      <c r="F79" s="4">
        <v>1263000</v>
      </c>
      <c r="G79" s="4">
        <v>1263000</v>
      </c>
      <c r="H79" s="4">
        <v>894660.37</v>
      </c>
      <c r="I79" s="4">
        <v>1350000</v>
      </c>
      <c r="J79" s="4">
        <v>1641704</v>
      </c>
      <c r="K79" s="57">
        <f t="shared" si="13"/>
        <v>121.6077037037037</v>
      </c>
      <c r="L79" s="57">
        <f t="shared" si="18"/>
        <v>3.8245587932388068</v>
      </c>
      <c r="M79" s="58">
        <f t="shared" si="19"/>
        <v>74.33593125116538</v>
      </c>
    </row>
    <row r="80" spans="1:13" ht="12.75" customHeight="1">
      <c r="A80" s="265"/>
      <c r="B80" s="241"/>
      <c r="C80" s="6" t="s">
        <v>101</v>
      </c>
      <c r="D80" s="9" t="s">
        <v>451</v>
      </c>
      <c r="E80" s="4">
        <v>57587.01</v>
      </c>
      <c r="F80" s="4">
        <v>58000</v>
      </c>
      <c r="G80" s="4">
        <v>58000</v>
      </c>
      <c r="H80" s="4">
        <v>41071.65</v>
      </c>
      <c r="I80" s="4">
        <v>51000</v>
      </c>
      <c r="J80" s="4">
        <v>55000</v>
      </c>
      <c r="K80" s="57">
        <f t="shared" si="13"/>
        <v>107.84313725490196</v>
      </c>
      <c r="L80" s="57">
        <f t="shared" si="18"/>
        <v>0.1281295127673042</v>
      </c>
      <c r="M80" s="58">
        <f t="shared" si="19"/>
        <v>71.3210322953041</v>
      </c>
    </row>
    <row r="81" spans="1:13" ht="10.5" customHeight="1">
      <c r="A81" s="265"/>
      <c r="B81" s="241"/>
      <c r="C81" s="6" t="s">
        <v>102</v>
      </c>
      <c r="D81" s="9" t="s">
        <v>452</v>
      </c>
      <c r="E81" s="4">
        <v>102000</v>
      </c>
      <c r="F81" s="4">
        <v>102000</v>
      </c>
      <c r="G81" s="4">
        <v>102000</v>
      </c>
      <c r="H81" s="4">
        <v>77472</v>
      </c>
      <c r="I81" s="4">
        <v>103000</v>
      </c>
      <c r="J81" s="4">
        <v>110000</v>
      </c>
      <c r="K81" s="57">
        <f t="shared" si="13"/>
        <v>106.79611650485437</v>
      </c>
      <c r="L81" s="57">
        <f t="shared" si="18"/>
        <v>0.2562590255346084</v>
      </c>
      <c r="M81" s="58">
        <f t="shared" si="19"/>
        <v>75.95294117647059</v>
      </c>
    </row>
    <row r="82" spans="1:13" ht="12.75" customHeight="1">
      <c r="A82" s="265"/>
      <c r="B82" s="241"/>
      <c r="C82" s="6" t="s">
        <v>103</v>
      </c>
      <c r="D82" s="9" t="s">
        <v>453</v>
      </c>
      <c r="E82" s="4">
        <v>5743</v>
      </c>
      <c r="F82" s="4">
        <v>13000</v>
      </c>
      <c r="G82" s="4">
        <v>13000</v>
      </c>
      <c r="H82" s="4">
        <v>4726</v>
      </c>
      <c r="I82" s="4">
        <v>15000</v>
      </c>
      <c r="J82" s="4">
        <v>17000</v>
      </c>
      <c r="K82" s="57">
        <f t="shared" si="13"/>
        <v>113.33333333333333</v>
      </c>
      <c r="L82" s="57">
        <f t="shared" si="18"/>
        <v>0.0396036675826213</v>
      </c>
      <c r="M82" s="58">
        <f t="shared" si="19"/>
        <v>82.29148528643566</v>
      </c>
    </row>
    <row r="83" spans="1:13" ht="25.5" customHeight="1">
      <c r="A83" s="265"/>
      <c r="B83" s="241"/>
      <c r="C83" s="6" t="s">
        <v>323</v>
      </c>
      <c r="D83" s="9" t="s">
        <v>333</v>
      </c>
      <c r="E83" s="4"/>
      <c r="F83" s="4"/>
      <c r="G83" s="4"/>
      <c r="H83" s="4">
        <v>11.6</v>
      </c>
      <c r="I83" s="4">
        <v>100</v>
      </c>
      <c r="J83" s="4">
        <v>150</v>
      </c>
      <c r="K83" s="57">
        <f t="shared" si="13"/>
        <v>150</v>
      </c>
      <c r="L83" s="57">
        <f t="shared" si="18"/>
        <v>0.00034944412572901143</v>
      </c>
      <c r="M83" s="58"/>
    </row>
    <row r="84" spans="1:13" ht="22.5" customHeight="1">
      <c r="A84" s="265"/>
      <c r="B84" s="241"/>
      <c r="C84" s="6" t="s">
        <v>99</v>
      </c>
      <c r="D84" s="9" t="s">
        <v>39</v>
      </c>
      <c r="E84" s="4">
        <v>15455</v>
      </c>
      <c r="F84" s="4">
        <v>16500</v>
      </c>
      <c r="G84" s="4">
        <v>16500</v>
      </c>
      <c r="H84" s="4">
        <v>3470</v>
      </c>
      <c r="I84" s="4">
        <v>5200</v>
      </c>
      <c r="J84" s="4">
        <v>10000</v>
      </c>
      <c r="K84" s="57">
        <f t="shared" si="13"/>
        <v>192.30769230769232</v>
      </c>
      <c r="L84" s="57">
        <f t="shared" si="18"/>
        <v>0.02329627504860076</v>
      </c>
      <c r="M84" s="58">
        <f t="shared" si="19"/>
        <v>22.45228081527014</v>
      </c>
    </row>
    <row r="85" spans="1:13" ht="22.5" customHeight="1">
      <c r="A85" s="265"/>
      <c r="B85" s="242"/>
      <c r="C85" s="6" t="s">
        <v>200</v>
      </c>
      <c r="D85" s="9" t="s">
        <v>201</v>
      </c>
      <c r="E85" s="4">
        <v>1289</v>
      </c>
      <c r="F85" s="4">
        <v>3300</v>
      </c>
      <c r="G85" s="4">
        <v>3300</v>
      </c>
      <c r="H85" s="4">
        <v>1295</v>
      </c>
      <c r="I85" s="4">
        <v>1295</v>
      </c>
      <c r="J85" s="4"/>
      <c r="K85" s="57">
        <f t="shared" si="13"/>
        <v>0</v>
      </c>
      <c r="L85" s="57">
        <f t="shared" si="18"/>
        <v>0</v>
      </c>
      <c r="M85" s="58">
        <f t="shared" si="19"/>
        <v>100.4654771140419</v>
      </c>
    </row>
    <row r="86" spans="1:13" ht="31.5" customHeight="1">
      <c r="A86" s="265"/>
      <c r="B86" s="238">
        <v>75616</v>
      </c>
      <c r="C86" s="6"/>
      <c r="D86" s="7" t="s">
        <v>40</v>
      </c>
      <c r="E86" s="8" t="e">
        <f>E87+E88+E89+E90+E91+E92+E93+E94+E95+E96+#REF!+E98+E97</f>
        <v>#REF!</v>
      </c>
      <c r="F86" s="8" t="e">
        <f>F87+F88+F89+F90+F91+F92+F93+F94+F95+F96+#REF!+F98+F97</f>
        <v>#REF!</v>
      </c>
      <c r="G86" s="8" t="e">
        <f>G87+G88+G89+G90+G91+G92+G93+G94+G95+G96+#REF!+G98+G97</f>
        <v>#REF!</v>
      </c>
      <c r="H86" s="8" t="e">
        <f>H87+H88+H89+H90+H91+H92+H93+H94+H95+H96+#REF!+H98+H97</f>
        <v>#REF!</v>
      </c>
      <c r="I86" s="8">
        <f>I87+I88+I89+I90+I91+I92+I93+I94+I95+I96+I98+I97</f>
        <v>3316834</v>
      </c>
      <c r="J86" s="8">
        <f>J87+J88+J89+J90+J91+J92+J93+J94+J95+J96+J98+J97</f>
        <v>3495900</v>
      </c>
      <c r="K86" s="57">
        <f t="shared" si="13"/>
        <v>105.39870249762274</v>
      </c>
      <c r="L86" s="57">
        <f t="shared" si="18"/>
        <v>8.14414479424034</v>
      </c>
      <c r="M86" s="57" t="e">
        <f t="shared" si="19"/>
        <v>#REF!</v>
      </c>
    </row>
    <row r="87" spans="1:13" ht="14.25" customHeight="1">
      <c r="A87" s="265"/>
      <c r="B87" s="241"/>
      <c r="C87" s="6" t="s">
        <v>100</v>
      </c>
      <c r="D87" s="9" t="s">
        <v>450</v>
      </c>
      <c r="E87" s="4">
        <v>952201.08</v>
      </c>
      <c r="F87" s="4">
        <v>922000</v>
      </c>
      <c r="G87" s="4">
        <v>922000</v>
      </c>
      <c r="H87" s="4">
        <v>908100.21</v>
      </c>
      <c r="I87" s="4">
        <v>1250000</v>
      </c>
      <c r="J87" s="4">
        <v>1300000</v>
      </c>
      <c r="K87" s="57">
        <f t="shared" si="13"/>
        <v>104</v>
      </c>
      <c r="L87" s="57">
        <f t="shared" si="18"/>
        <v>3.0285157563180993</v>
      </c>
      <c r="M87" s="58">
        <f t="shared" si="19"/>
        <v>95.36853392352799</v>
      </c>
    </row>
    <row r="88" spans="1:13" ht="15" customHeight="1">
      <c r="A88" s="265"/>
      <c r="B88" s="241"/>
      <c r="C88" s="6" t="s">
        <v>101</v>
      </c>
      <c r="D88" s="9" t="s">
        <v>451</v>
      </c>
      <c r="E88" s="4">
        <v>1547112.99</v>
      </c>
      <c r="F88" s="4">
        <v>1600000</v>
      </c>
      <c r="G88" s="4">
        <v>1600000</v>
      </c>
      <c r="H88" s="4">
        <v>1110066.87</v>
      </c>
      <c r="I88" s="4">
        <v>1700000</v>
      </c>
      <c r="J88" s="4">
        <v>1800000</v>
      </c>
      <c r="K88" s="57">
        <f t="shared" si="13"/>
        <v>105.88235294117648</v>
      </c>
      <c r="L88" s="57">
        <f t="shared" si="18"/>
        <v>4.193329508748137</v>
      </c>
      <c r="M88" s="58">
        <f t="shared" si="19"/>
        <v>71.75085964471154</v>
      </c>
    </row>
    <row r="89" spans="1:13" ht="12" customHeight="1">
      <c r="A89" s="265"/>
      <c r="B89" s="241"/>
      <c r="C89" s="6" t="s">
        <v>102</v>
      </c>
      <c r="D89" s="9" t="s">
        <v>452</v>
      </c>
      <c r="E89" s="4">
        <v>12496.87</v>
      </c>
      <c r="F89" s="4">
        <v>12000</v>
      </c>
      <c r="G89" s="4">
        <v>12000</v>
      </c>
      <c r="H89" s="4">
        <v>9357.97</v>
      </c>
      <c r="I89" s="4">
        <v>16000</v>
      </c>
      <c r="J89" s="4">
        <v>18000</v>
      </c>
      <c r="K89" s="57">
        <f t="shared" si="13"/>
        <v>112.5</v>
      </c>
      <c r="L89" s="57">
        <f t="shared" si="18"/>
        <v>0.04193329508748137</v>
      </c>
      <c r="M89" s="58">
        <f t="shared" si="19"/>
        <v>74.88251058064938</v>
      </c>
    </row>
    <row r="90" spans="1:13" ht="12" customHeight="1">
      <c r="A90" s="265"/>
      <c r="B90" s="241"/>
      <c r="C90" s="6" t="s">
        <v>103</v>
      </c>
      <c r="D90" s="9" t="s">
        <v>453</v>
      </c>
      <c r="E90" s="4">
        <v>106649.61</v>
      </c>
      <c r="F90" s="4">
        <v>111000</v>
      </c>
      <c r="G90" s="4">
        <v>111000</v>
      </c>
      <c r="H90" s="4">
        <v>79640.4</v>
      </c>
      <c r="I90" s="4">
        <v>113000</v>
      </c>
      <c r="J90" s="4">
        <v>125000</v>
      </c>
      <c r="K90" s="57">
        <f t="shared" si="13"/>
        <v>110.61946902654867</v>
      </c>
      <c r="L90" s="57">
        <f t="shared" si="18"/>
        <v>0.2912034381075095</v>
      </c>
      <c r="M90" s="58">
        <f t="shared" si="19"/>
        <v>74.67481596979117</v>
      </c>
    </row>
    <row r="91" spans="1:13" ht="13.5" customHeight="1">
      <c r="A91" s="265"/>
      <c r="B91" s="241"/>
      <c r="C91" s="6" t="s">
        <v>106</v>
      </c>
      <c r="D91" s="9" t="s">
        <v>454</v>
      </c>
      <c r="E91" s="4">
        <v>6163.8</v>
      </c>
      <c r="F91" s="4">
        <v>6500</v>
      </c>
      <c r="G91" s="4">
        <v>6500</v>
      </c>
      <c r="H91" s="4">
        <v>751</v>
      </c>
      <c r="I91" s="4">
        <v>1000</v>
      </c>
      <c r="J91" s="4">
        <v>1100</v>
      </c>
      <c r="K91" s="57">
        <f t="shared" si="13"/>
        <v>110.00000000000001</v>
      </c>
      <c r="L91" s="57">
        <f t="shared" si="18"/>
        <v>0.0025625902553460837</v>
      </c>
      <c r="M91" s="58">
        <f t="shared" si="19"/>
        <v>12.18404231156105</v>
      </c>
    </row>
    <row r="92" spans="1:13" ht="13.5" customHeight="1">
      <c r="A92" s="265"/>
      <c r="B92" s="241"/>
      <c r="C92" s="6" t="s">
        <v>107</v>
      </c>
      <c r="D92" s="9" t="s">
        <v>455</v>
      </c>
      <c r="E92" s="4">
        <v>4920</v>
      </c>
      <c r="F92" s="4">
        <v>5000</v>
      </c>
      <c r="G92" s="4">
        <v>5000</v>
      </c>
      <c r="H92" s="4">
        <v>4170</v>
      </c>
      <c r="I92" s="4">
        <v>4200</v>
      </c>
      <c r="J92" s="4">
        <v>5000</v>
      </c>
      <c r="K92" s="57">
        <f t="shared" si="13"/>
        <v>119.04761904761905</v>
      </c>
      <c r="L92" s="57">
        <f t="shared" si="18"/>
        <v>0.01164813752430038</v>
      </c>
      <c r="M92" s="58">
        <f t="shared" si="19"/>
        <v>84.7560975609756</v>
      </c>
    </row>
    <row r="93" spans="1:13" ht="12" customHeight="1">
      <c r="A93" s="265"/>
      <c r="B93" s="241"/>
      <c r="C93" s="6" t="s">
        <v>108</v>
      </c>
      <c r="D93" s="9" t="s">
        <v>43</v>
      </c>
      <c r="E93" s="4">
        <v>6451</v>
      </c>
      <c r="F93" s="4">
        <v>6500</v>
      </c>
      <c r="G93" s="4">
        <v>6500</v>
      </c>
      <c r="H93" s="4">
        <v>4156</v>
      </c>
      <c r="I93" s="4">
        <v>5000</v>
      </c>
      <c r="J93" s="4">
        <v>5500</v>
      </c>
      <c r="K93" s="57">
        <f t="shared" si="13"/>
        <v>110.00000000000001</v>
      </c>
      <c r="L93" s="57">
        <f t="shared" si="18"/>
        <v>0.01281295127673042</v>
      </c>
      <c r="M93" s="58">
        <f t="shared" si="19"/>
        <v>64.42412029142768</v>
      </c>
    </row>
    <row r="94" spans="1:13" ht="12.75" customHeight="1">
      <c r="A94" s="265"/>
      <c r="B94" s="241"/>
      <c r="C94" s="6" t="s">
        <v>104</v>
      </c>
      <c r="D94" s="9" t="s">
        <v>36</v>
      </c>
      <c r="E94" s="4">
        <v>545.06</v>
      </c>
      <c r="F94" s="4">
        <v>600</v>
      </c>
      <c r="G94" s="4">
        <v>600</v>
      </c>
      <c r="H94" s="4">
        <v>438.18</v>
      </c>
      <c r="I94" s="4">
        <v>100</v>
      </c>
      <c r="J94" s="4">
        <v>200</v>
      </c>
      <c r="K94" s="57">
        <f t="shared" si="13"/>
        <v>200</v>
      </c>
      <c r="L94" s="57">
        <f t="shared" si="18"/>
        <v>0.0004659255009720153</v>
      </c>
      <c r="M94" s="58">
        <f t="shared" si="19"/>
        <v>80.39114959820938</v>
      </c>
    </row>
    <row r="95" spans="1:13" ht="25.5" customHeight="1">
      <c r="A95" s="270"/>
      <c r="B95" s="241"/>
      <c r="C95" s="6" t="s">
        <v>89</v>
      </c>
      <c r="D95" s="9" t="s">
        <v>436</v>
      </c>
      <c r="E95" s="4">
        <v>205</v>
      </c>
      <c r="F95" s="4">
        <v>300</v>
      </c>
      <c r="G95" s="4">
        <v>300</v>
      </c>
      <c r="H95" s="4">
        <v>34</v>
      </c>
      <c r="I95" s="4">
        <v>34</v>
      </c>
      <c r="J95" s="4">
        <v>100</v>
      </c>
      <c r="K95" s="57">
        <f t="shared" si="13"/>
        <v>294.11764705882354</v>
      </c>
      <c r="L95" s="57">
        <f t="shared" si="18"/>
        <v>0.00023296275048600765</v>
      </c>
      <c r="M95" s="58">
        <f t="shared" si="19"/>
        <v>16.585365853658537</v>
      </c>
    </row>
    <row r="96" spans="1:13" ht="13.5" customHeight="1">
      <c r="A96" s="270"/>
      <c r="B96" s="241"/>
      <c r="C96" s="6" t="s">
        <v>105</v>
      </c>
      <c r="D96" s="9" t="s">
        <v>37</v>
      </c>
      <c r="E96" s="4">
        <v>170214.45</v>
      </c>
      <c r="F96" s="4">
        <v>171000</v>
      </c>
      <c r="G96" s="4">
        <v>171000</v>
      </c>
      <c r="H96" s="4">
        <v>106044.95</v>
      </c>
      <c r="I96" s="4">
        <v>180000</v>
      </c>
      <c r="J96" s="4">
        <v>190000</v>
      </c>
      <c r="K96" s="57">
        <f t="shared" si="13"/>
        <v>105.55555555555556</v>
      </c>
      <c r="L96" s="57">
        <f t="shared" si="18"/>
        <v>0.44262922592341447</v>
      </c>
      <c r="M96" s="58">
        <f t="shared" si="19"/>
        <v>62.30079173654175</v>
      </c>
    </row>
    <row r="97" spans="1:13" ht="21" customHeight="1">
      <c r="A97" s="270"/>
      <c r="B97" s="241"/>
      <c r="C97" s="6" t="s">
        <v>323</v>
      </c>
      <c r="D97" s="9" t="s">
        <v>333</v>
      </c>
      <c r="E97" s="4"/>
      <c r="F97" s="4"/>
      <c r="G97" s="4">
        <v>4000</v>
      </c>
      <c r="H97" s="4">
        <v>2342</v>
      </c>
      <c r="I97" s="4">
        <v>2500</v>
      </c>
      <c r="J97" s="4">
        <v>3000</v>
      </c>
      <c r="K97" s="57">
        <f t="shared" si="13"/>
        <v>120</v>
      </c>
      <c r="L97" s="57">
        <f t="shared" si="18"/>
        <v>0.006988882514580229</v>
      </c>
      <c r="M97" s="58"/>
    </row>
    <row r="98" spans="1:13" ht="23.25" customHeight="1">
      <c r="A98" s="270"/>
      <c r="B98" s="241"/>
      <c r="C98" s="6" t="s">
        <v>99</v>
      </c>
      <c r="D98" s="9" t="s">
        <v>44</v>
      </c>
      <c r="E98" s="4">
        <v>33720.32</v>
      </c>
      <c r="F98" s="4">
        <v>34000</v>
      </c>
      <c r="G98" s="4">
        <v>34000</v>
      </c>
      <c r="H98" s="4">
        <v>19289.93</v>
      </c>
      <c r="I98" s="4">
        <v>45000</v>
      </c>
      <c r="J98" s="4">
        <v>48000</v>
      </c>
      <c r="K98" s="57">
        <f t="shared" si="13"/>
        <v>106.66666666666667</v>
      </c>
      <c r="L98" s="57">
        <f t="shared" si="18"/>
        <v>0.11182212023328367</v>
      </c>
      <c r="M98" s="58">
        <f t="shared" si="19"/>
        <v>57.205655225098695</v>
      </c>
    </row>
    <row r="99" spans="1:13" ht="31.5" customHeight="1">
      <c r="A99" s="270"/>
      <c r="B99" s="238">
        <v>75618</v>
      </c>
      <c r="C99" s="6"/>
      <c r="D99" s="7" t="s">
        <v>427</v>
      </c>
      <c r="E99" s="8">
        <f aca="true" t="shared" si="21" ref="E99:J99">E100+E102+E101+E103</f>
        <v>240150.69</v>
      </c>
      <c r="F99" s="8">
        <f t="shared" si="21"/>
        <v>242100</v>
      </c>
      <c r="G99" s="8">
        <f t="shared" si="21"/>
        <v>212100</v>
      </c>
      <c r="H99" s="8">
        <f t="shared" si="21"/>
        <v>197019.63999999998</v>
      </c>
      <c r="I99" s="8">
        <f t="shared" si="21"/>
        <v>165085.03999999998</v>
      </c>
      <c r="J99" s="8">
        <f t="shared" si="21"/>
        <v>166859.11</v>
      </c>
      <c r="K99" s="57">
        <f t="shared" si="13"/>
        <v>101.07464007641154</v>
      </c>
      <c r="L99" s="57">
        <f t="shared" si="18"/>
        <v>0.388719572092473</v>
      </c>
      <c r="M99" s="57">
        <f t="shared" si="19"/>
        <v>82.04000579802623</v>
      </c>
    </row>
    <row r="100" spans="1:13" ht="10.5" customHeight="1">
      <c r="A100" s="270"/>
      <c r="B100" s="239"/>
      <c r="C100" s="6" t="s">
        <v>109</v>
      </c>
      <c r="D100" s="9" t="s">
        <v>46</v>
      </c>
      <c r="E100" s="4">
        <v>26278</v>
      </c>
      <c r="F100" s="4">
        <v>26100</v>
      </c>
      <c r="G100" s="4">
        <v>26100</v>
      </c>
      <c r="H100" s="4">
        <v>22521</v>
      </c>
      <c r="I100" s="4">
        <v>35000</v>
      </c>
      <c r="J100" s="4">
        <v>38000</v>
      </c>
      <c r="K100" s="57">
        <f t="shared" si="13"/>
        <v>108.57142857142857</v>
      </c>
      <c r="L100" s="57">
        <f t="shared" si="18"/>
        <v>0.0885258451846829</v>
      </c>
      <c r="M100" s="58">
        <f t="shared" si="19"/>
        <v>85.702869320344</v>
      </c>
    </row>
    <row r="101" spans="1:13" ht="12.75" customHeight="1">
      <c r="A101" s="270"/>
      <c r="B101" s="239"/>
      <c r="C101" s="6" t="s">
        <v>120</v>
      </c>
      <c r="D101" s="9" t="s">
        <v>126</v>
      </c>
      <c r="E101" s="4">
        <v>67964.4</v>
      </c>
      <c r="F101" s="4">
        <v>70000</v>
      </c>
      <c r="G101" s="4">
        <v>70000</v>
      </c>
      <c r="H101" s="4">
        <v>54567.6</v>
      </c>
      <c r="I101" s="4">
        <v>10000</v>
      </c>
      <c r="J101" s="4">
        <v>12000</v>
      </c>
      <c r="K101" s="57">
        <f t="shared" si="13"/>
        <v>120</v>
      </c>
      <c r="L101" s="57">
        <f t="shared" si="18"/>
        <v>0.027955530058320917</v>
      </c>
      <c r="M101" s="58">
        <f t="shared" si="19"/>
        <v>80.28850398149619</v>
      </c>
    </row>
    <row r="102" spans="1:13" ht="14.25" customHeight="1">
      <c r="A102" s="270"/>
      <c r="B102" s="241"/>
      <c r="C102" s="6" t="s">
        <v>113</v>
      </c>
      <c r="D102" s="9" t="s">
        <v>64</v>
      </c>
      <c r="E102" s="4">
        <v>116025.19</v>
      </c>
      <c r="F102" s="4">
        <v>116000</v>
      </c>
      <c r="G102" s="4">
        <v>116000</v>
      </c>
      <c r="H102" s="4">
        <v>119485.04</v>
      </c>
      <c r="I102" s="4">
        <v>119485.04</v>
      </c>
      <c r="J102" s="4">
        <v>116159.11</v>
      </c>
      <c r="K102" s="57">
        <f t="shared" si="13"/>
        <v>97.21644651079332</v>
      </c>
      <c r="L102" s="57">
        <f t="shared" si="18"/>
        <v>0.27060745759606714</v>
      </c>
      <c r="M102" s="58">
        <f t="shared" si="19"/>
        <v>102.9819817575821</v>
      </c>
    </row>
    <row r="103" spans="1:13" ht="21" customHeight="1">
      <c r="A103" s="270"/>
      <c r="B103" s="241"/>
      <c r="C103" s="6" t="s">
        <v>89</v>
      </c>
      <c r="D103" s="9" t="s">
        <v>428</v>
      </c>
      <c r="E103" s="4">
        <v>29883.1</v>
      </c>
      <c r="F103" s="4">
        <v>30000</v>
      </c>
      <c r="G103" s="4"/>
      <c r="H103" s="4">
        <v>446</v>
      </c>
      <c r="I103" s="4">
        <v>600</v>
      </c>
      <c r="J103" s="4">
        <v>700</v>
      </c>
      <c r="K103" s="57">
        <f t="shared" si="13"/>
        <v>116.66666666666667</v>
      </c>
      <c r="L103" s="57">
        <f t="shared" si="18"/>
        <v>0.0016307392534020534</v>
      </c>
      <c r="M103" s="58">
        <f t="shared" si="19"/>
        <v>1.4924823729800456</v>
      </c>
    </row>
    <row r="104" spans="1:13" ht="24.75" customHeight="1">
      <c r="A104" s="270"/>
      <c r="B104" s="238">
        <v>75621</v>
      </c>
      <c r="C104" s="6"/>
      <c r="D104" s="7" t="s">
        <v>429</v>
      </c>
      <c r="E104" s="8">
        <f aca="true" t="shared" si="22" ref="E104:J104">E105+E106</f>
        <v>2996785.67</v>
      </c>
      <c r="F104" s="8">
        <f t="shared" si="22"/>
        <v>2951397</v>
      </c>
      <c r="G104" s="8">
        <f t="shared" si="22"/>
        <v>2960718</v>
      </c>
      <c r="H104" s="8">
        <f t="shared" si="22"/>
        <v>2111157.66</v>
      </c>
      <c r="I104" s="8">
        <f t="shared" si="22"/>
        <v>3321794</v>
      </c>
      <c r="J104" s="8">
        <f t="shared" si="22"/>
        <v>3836170</v>
      </c>
      <c r="K104" s="57">
        <f t="shared" si="13"/>
        <v>115.48488557689008</v>
      </c>
      <c r="L104" s="57">
        <f t="shared" si="18"/>
        <v>8.936847145319078</v>
      </c>
      <c r="M104" s="57">
        <f t="shared" si="19"/>
        <v>70.44740239965176</v>
      </c>
    </row>
    <row r="105" spans="1:13" ht="12" customHeight="1">
      <c r="A105" s="270"/>
      <c r="B105" s="240"/>
      <c r="C105" s="6" t="s">
        <v>110</v>
      </c>
      <c r="D105" s="9" t="s">
        <v>430</v>
      </c>
      <c r="E105" s="4">
        <v>2971669</v>
      </c>
      <c r="F105" s="4">
        <v>2921397</v>
      </c>
      <c r="G105" s="4">
        <v>2930718</v>
      </c>
      <c r="H105" s="4">
        <v>2093282</v>
      </c>
      <c r="I105" s="4">
        <v>3286794</v>
      </c>
      <c r="J105" s="4">
        <v>3796170</v>
      </c>
      <c r="K105" s="57">
        <f t="shared" si="13"/>
        <v>115.49765516183857</v>
      </c>
      <c r="L105" s="57">
        <f t="shared" si="18"/>
        <v>8.843662045124676</v>
      </c>
      <c r="M105" s="58">
        <f t="shared" si="19"/>
        <v>70.44129073594671</v>
      </c>
    </row>
    <row r="106" spans="1:13" ht="12.75" customHeight="1">
      <c r="A106" s="270"/>
      <c r="B106" s="340"/>
      <c r="C106" s="6" t="s">
        <v>111</v>
      </c>
      <c r="D106" s="9" t="s">
        <v>49</v>
      </c>
      <c r="E106" s="4">
        <v>25116.67</v>
      </c>
      <c r="F106" s="4">
        <v>30000</v>
      </c>
      <c r="G106" s="4">
        <v>30000</v>
      </c>
      <c r="H106" s="4">
        <v>17875.66</v>
      </c>
      <c r="I106" s="4">
        <v>35000</v>
      </c>
      <c r="J106" s="4">
        <v>40000</v>
      </c>
      <c r="K106" s="57">
        <f t="shared" si="13"/>
        <v>114.28571428571428</v>
      </c>
      <c r="L106" s="57">
        <f t="shared" si="18"/>
        <v>0.09318510019440304</v>
      </c>
      <c r="M106" s="58">
        <f t="shared" si="19"/>
        <v>71.17050150358308</v>
      </c>
    </row>
    <row r="107" spans="1:13" ht="12.75" customHeight="1">
      <c r="A107" s="265">
        <v>758</v>
      </c>
      <c r="B107" s="5"/>
      <c r="C107" s="6"/>
      <c r="D107" s="7" t="s">
        <v>50</v>
      </c>
      <c r="E107" s="8">
        <f aca="true" t="shared" si="23" ref="E107:J107">E108+E110+E112+E117</f>
        <v>11026122.56</v>
      </c>
      <c r="F107" s="8">
        <f t="shared" si="23"/>
        <v>10771123</v>
      </c>
      <c r="G107" s="8">
        <f t="shared" si="23"/>
        <v>11341681.37</v>
      </c>
      <c r="H107" s="8">
        <f t="shared" si="23"/>
        <v>9269789.77</v>
      </c>
      <c r="I107" s="8">
        <f t="shared" si="23"/>
        <v>11970842.77</v>
      </c>
      <c r="J107" s="8">
        <f t="shared" si="23"/>
        <v>12896527</v>
      </c>
      <c r="K107" s="57">
        <f t="shared" si="13"/>
        <v>107.73282422788016</v>
      </c>
      <c r="L107" s="57">
        <f t="shared" si="18"/>
        <v>30.044104016370603</v>
      </c>
      <c r="M107" s="57">
        <f t="shared" si="19"/>
        <v>84.07116572083522</v>
      </c>
    </row>
    <row r="108" spans="1:13" ht="15.75" customHeight="1">
      <c r="A108" s="265"/>
      <c r="B108" s="5">
        <v>75801</v>
      </c>
      <c r="C108" s="6"/>
      <c r="D108" s="7" t="s">
        <v>51</v>
      </c>
      <c r="E108" s="8">
        <f aca="true" t="shared" si="24" ref="E108:J108">E109</f>
        <v>7268063</v>
      </c>
      <c r="F108" s="8">
        <f t="shared" si="24"/>
        <v>7213535</v>
      </c>
      <c r="G108" s="8">
        <f t="shared" si="24"/>
        <v>7690349</v>
      </c>
      <c r="H108" s="8">
        <f t="shared" si="24"/>
        <v>6507215</v>
      </c>
      <c r="I108" s="8">
        <f t="shared" si="24"/>
        <v>7838580</v>
      </c>
      <c r="J108" s="8">
        <f t="shared" si="24"/>
        <v>8032524</v>
      </c>
      <c r="K108" s="57">
        <f t="shared" si="13"/>
        <v>102.47422364765046</v>
      </c>
      <c r="L108" s="57">
        <f t="shared" si="18"/>
        <v>18.712788843848678</v>
      </c>
      <c r="M108" s="57">
        <f t="shared" si="19"/>
        <v>89.53162623934328</v>
      </c>
    </row>
    <row r="109" spans="1:13" ht="13.5" customHeight="1">
      <c r="A109" s="265"/>
      <c r="B109" s="5"/>
      <c r="C109" s="6">
        <v>2920</v>
      </c>
      <c r="D109" s="9" t="s">
        <v>52</v>
      </c>
      <c r="E109" s="4">
        <v>7268063</v>
      </c>
      <c r="F109" s="4">
        <v>7213535</v>
      </c>
      <c r="G109" s="4">
        <v>7690349</v>
      </c>
      <c r="H109" s="4">
        <v>6507215</v>
      </c>
      <c r="I109" s="4">
        <v>7838580</v>
      </c>
      <c r="J109" s="4">
        <v>8032524</v>
      </c>
      <c r="K109" s="57">
        <f t="shared" si="13"/>
        <v>102.47422364765046</v>
      </c>
      <c r="L109" s="57">
        <f t="shared" si="18"/>
        <v>18.712788843848678</v>
      </c>
      <c r="M109" s="58">
        <f t="shared" si="19"/>
        <v>89.53162623934328</v>
      </c>
    </row>
    <row r="110" spans="1:13" ht="15.75" customHeight="1">
      <c r="A110" s="265"/>
      <c r="B110" s="5">
        <v>75807</v>
      </c>
      <c r="C110" s="6"/>
      <c r="D110" s="7" t="s">
        <v>53</v>
      </c>
      <c r="E110" s="8">
        <f aca="true" t="shared" si="25" ref="E110:J110">E111</f>
        <v>3715510</v>
      </c>
      <c r="F110" s="8">
        <f t="shared" si="25"/>
        <v>3527643</v>
      </c>
      <c r="G110" s="8">
        <f t="shared" si="25"/>
        <v>3527643</v>
      </c>
      <c r="H110" s="8">
        <f t="shared" si="25"/>
        <v>2645730</v>
      </c>
      <c r="I110" s="8">
        <f t="shared" si="25"/>
        <v>3994517</v>
      </c>
      <c r="J110" s="8">
        <f t="shared" si="25"/>
        <v>4726601</v>
      </c>
      <c r="K110" s="57">
        <f t="shared" si="13"/>
        <v>118.32722203961079</v>
      </c>
      <c r="L110" s="57">
        <f t="shared" si="18"/>
        <v>11.011219694099141</v>
      </c>
      <c r="M110" s="57">
        <f t="shared" si="19"/>
        <v>71.20772114729876</v>
      </c>
    </row>
    <row r="111" spans="1:13" ht="18.75" customHeight="1">
      <c r="A111" s="265"/>
      <c r="B111" s="5"/>
      <c r="C111" s="6">
        <v>2920</v>
      </c>
      <c r="D111" s="9" t="s">
        <v>52</v>
      </c>
      <c r="E111" s="4">
        <v>3715510</v>
      </c>
      <c r="F111" s="4">
        <v>3527643</v>
      </c>
      <c r="G111" s="4">
        <v>3527643</v>
      </c>
      <c r="H111" s="4">
        <v>2645730</v>
      </c>
      <c r="I111" s="4">
        <v>3994517</v>
      </c>
      <c r="J111" s="4">
        <v>4726601</v>
      </c>
      <c r="K111" s="57">
        <f t="shared" si="13"/>
        <v>118.32722203961079</v>
      </c>
      <c r="L111" s="57">
        <f t="shared" si="18"/>
        <v>11.011219694099141</v>
      </c>
      <c r="M111" s="58">
        <f t="shared" si="19"/>
        <v>71.20772114729876</v>
      </c>
    </row>
    <row r="112" spans="1:13" ht="16.5" customHeight="1">
      <c r="A112" s="265"/>
      <c r="B112" s="5">
        <v>75814</v>
      </c>
      <c r="C112" s="6"/>
      <c r="D112" s="7" t="s">
        <v>54</v>
      </c>
      <c r="E112" s="8">
        <f aca="true" t="shared" si="26" ref="E112:J112">E113+E114+E115+E116</f>
        <v>3584.56</v>
      </c>
      <c r="F112" s="8">
        <f t="shared" si="26"/>
        <v>2000</v>
      </c>
      <c r="G112" s="8">
        <f t="shared" si="26"/>
        <v>95744.37000000001</v>
      </c>
      <c r="H112" s="8">
        <f t="shared" si="26"/>
        <v>95883.77</v>
      </c>
      <c r="I112" s="8">
        <f t="shared" si="26"/>
        <v>97935.77</v>
      </c>
      <c r="J112" s="8">
        <f t="shared" si="26"/>
        <v>105407</v>
      </c>
      <c r="K112" s="57">
        <f t="shared" si="13"/>
        <v>107.6287039965071</v>
      </c>
      <c r="L112" s="57">
        <f t="shared" si="18"/>
        <v>0.24555904640478607</v>
      </c>
      <c r="M112" s="57">
        <f t="shared" si="19"/>
        <v>2674.9104492601605</v>
      </c>
    </row>
    <row r="113" spans="1:13" ht="12" customHeight="1">
      <c r="A113" s="265"/>
      <c r="B113" s="5"/>
      <c r="C113" s="6" t="s">
        <v>93</v>
      </c>
      <c r="D113" s="9" t="s">
        <v>16</v>
      </c>
      <c r="E113" s="4">
        <v>3584.56</v>
      </c>
      <c r="F113" s="4">
        <v>2000</v>
      </c>
      <c r="G113" s="4">
        <v>2000</v>
      </c>
      <c r="H113" s="4">
        <v>2088.55</v>
      </c>
      <c r="I113" s="4">
        <v>2000</v>
      </c>
      <c r="J113" s="4">
        <v>4000</v>
      </c>
      <c r="K113" s="57">
        <f t="shared" si="13"/>
        <v>200</v>
      </c>
      <c r="L113" s="57">
        <f t="shared" si="18"/>
        <v>0.009318510019440306</v>
      </c>
      <c r="M113" s="58">
        <f t="shared" si="19"/>
        <v>58.265170620661955</v>
      </c>
    </row>
    <row r="114" spans="1:13" ht="11.25" customHeight="1">
      <c r="A114" s="265"/>
      <c r="B114" s="5"/>
      <c r="C114" s="6" t="s">
        <v>325</v>
      </c>
      <c r="D114" s="9" t="s">
        <v>339</v>
      </c>
      <c r="E114" s="4"/>
      <c r="F114" s="4"/>
      <c r="G114" s="4"/>
      <c r="H114" s="4">
        <v>50.85</v>
      </c>
      <c r="I114" s="4">
        <v>100</v>
      </c>
      <c r="J114" s="4">
        <v>100</v>
      </c>
      <c r="K114" s="57">
        <f t="shared" si="13"/>
        <v>100</v>
      </c>
      <c r="L114" s="57">
        <f t="shared" si="18"/>
        <v>0.00023296275048600765</v>
      </c>
      <c r="M114" s="58"/>
    </row>
    <row r="115" spans="1:13" ht="22.5">
      <c r="A115" s="265"/>
      <c r="B115" s="5"/>
      <c r="C115" s="6" t="s">
        <v>112</v>
      </c>
      <c r="D115" s="9" t="s">
        <v>71</v>
      </c>
      <c r="E115" s="4"/>
      <c r="F115" s="4"/>
      <c r="G115" s="4">
        <v>13766.02</v>
      </c>
      <c r="H115" s="4">
        <v>13766.02</v>
      </c>
      <c r="I115" s="4">
        <v>13766.02</v>
      </c>
      <c r="J115" s="4">
        <v>14444.98</v>
      </c>
      <c r="K115" s="57">
        <f t="shared" si="13"/>
        <v>104.93214451235724</v>
      </c>
      <c r="L115" s="57">
        <f t="shared" si="18"/>
        <v>0.03365142271515371</v>
      </c>
      <c r="M115" s="58"/>
    </row>
    <row r="116" spans="1:13" ht="45">
      <c r="A116" s="265"/>
      <c r="B116" s="5"/>
      <c r="C116" s="6" t="s">
        <v>291</v>
      </c>
      <c r="D116" s="9" t="s">
        <v>304</v>
      </c>
      <c r="E116" s="4"/>
      <c r="F116" s="4"/>
      <c r="G116" s="4">
        <v>79978.35</v>
      </c>
      <c r="H116" s="4">
        <v>79978.35</v>
      </c>
      <c r="I116" s="4">
        <v>82069.75</v>
      </c>
      <c r="J116" s="4">
        <v>86862.02</v>
      </c>
      <c r="K116" s="57">
        <f t="shared" si="13"/>
        <v>105.8392647717338</v>
      </c>
      <c r="L116" s="57">
        <f t="shared" si="18"/>
        <v>0.20235615091970605</v>
      </c>
      <c r="M116" s="58"/>
    </row>
    <row r="117" spans="1:13" ht="15" customHeight="1">
      <c r="A117" s="270"/>
      <c r="B117" s="5" t="s">
        <v>114</v>
      </c>
      <c r="C117" s="6"/>
      <c r="D117" s="9" t="s">
        <v>127</v>
      </c>
      <c r="E117" s="8">
        <f aca="true" t="shared" si="27" ref="E117:J117">E118</f>
        <v>38965</v>
      </c>
      <c r="F117" s="8">
        <f t="shared" si="27"/>
        <v>27945</v>
      </c>
      <c r="G117" s="8">
        <f t="shared" si="27"/>
        <v>27945</v>
      </c>
      <c r="H117" s="8">
        <f t="shared" si="27"/>
        <v>20961</v>
      </c>
      <c r="I117" s="8">
        <f t="shared" si="27"/>
        <v>39810</v>
      </c>
      <c r="J117" s="8">
        <f t="shared" si="27"/>
        <v>31995</v>
      </c>
      <c r="K117" s="57">
        <f t="shared" si="13"/>
        <v>80.36925395629238</v>
      </c>
      <c r="L117" s="57">
        <f t="shared" si="18"/>
        <v>0.07453643201799813</v>
      </c>
      <c r="M117" s="57">
        <f t="shared" si="19"/>
        <v>53.79443089952522</v>
      </c>
    </row>
    <row r="118" spans="1:13" ht="16.5" customHeight="1">
      <c r="A118" s="270"/>
      <c r="B118" s="5"/>
      <c r="C118" s="6" t="s">
        <v>115</v>
      </c>
      <c r="D118" s="9" t="str">
        <f>D109</f>
        <v>Subwencje ogólne z budżetu państwa</v>
      </c>
      <c r="E118" s="4">
        <v>38965</v>
      </c>
      <c r="F118" s="4">
        <v>27945</v>
      </c>
      <c r="G118" s="4">
        <v>27945</v>
      </c>
      <c r="H118" s="4">
        <v>20961</v>
      </c>
      <c r="I118" s="4">
        <v>39810</v>
      </c>
      <c r="J118" s="4">
        <v>31995</v>
      </c>
      <c r="K118" s="57">
        <f t="shared" si="13"/>
        <v>80.36925395629238</v>
      </c>
      <c r="L118" s="57">
        <f t="shared" si="18"/>
        <v>0.07453643201799813</v>
      </c>
      <c r="M118" s="58">
        <f t="shared" si="19"/>
        <v>53.79443089952522</v>
      </c>
    </row>
    <row r="119" spans="1:13" ht="15.75" customHeight="1">
      <c r="A119" s="238">
        <v>801</v>
      </c>
      <c r="B119" s="5"/>
      <c r="C119" s="6"/>
      <c r="D119" s="7" t="s">
        <v>55</v>
      </c>
      <c r="E119" s="8" t="e">
        <f>E120+E131+E137+#REF!+E142+E129+#REF!+E151+E149</f>
        <v>#REF!</v>
      </c>
      <c r="F119" s="8" t="e">
        <f>F120+F131+F137+#REF!+F142+F129+#REF!+F151+F149</f>
        <v>#REF!</v>
      </c>
      <c r="G119" s="8" t="e">
        <f>G120+G131+G137+#REF!+G142+G129+#REF!+G151+G149</f>
        <v>#REF!</v>
      </c>
      <c r="H119" s="8" t="e">
        <f>H120+H131+H137+#REF!+H142+H129+#REF!+H151+H149</f>
        <v>#REF!</v>
      </c>
      <c r="I119" s="8">
        <f>I120+I131+I137+I142+I129+I151+I149</f>
        <v>1253773.7400000002</v>
      </c>
      <c r="J119" s="8">
        <f>J120+J131+J137+J142+J129+J151+J149</f>
        <v>195024.2</v>
      </c>
      <c r="K119" s="57">
        <f t="shared" si="13"/>
        <v>15.554975652943567</v>
      </c>
      <c r="L119" s="57">
        <f t="shared" si="18"/>
        <v>0.4543337404333325</v>
      </c>
      <c r="M119" s="57" t="e">
        <f t="shared" si="19"/>
        <v>#REF!</v>
      </c>
    </row>
    <row r="120" spans="1:13" ht="12.75" customHeight="1">
      <c r="A120" s="239"/>
      <c r="B120" s="238">
        <v>80101</v>
      </c>
      <c r="C120" s="6"/>
      <c r="D120" s="7" t="s">
        <v>56</v>
      </c>
      <c r="E120" s="8" t="e">
        <f>E121+E122+E123+E124+E126+E125+#REF!+E127</f>
        <v>#REF!</v>
      </c>
      <c r="F120" s="8" t="e">
        <f>F121+F122+F123+F124+F126+F125+#REF!+F127</f>
        <v>#REF!</v>
      </c>
      <c r="G120" s="8" t="e">
        <f>G121+G122+G123+G124+G126+G125+#REF!+G127</f>
        <v>#REF!</v>
      </c>
      <c r="H120" s="8" t="e">
        <f>H121+H122+H123+H124+H126+H125+#REF!+H127</f>
        <v>#REF!</v>
      </c>
      <c r="I120" s="8">
        <f>I121+I122+I123+I124+I126+I125+I127+I128</f>
        <v>600267.5700000001</v>
      </c>
      <c r="J120" s="8">
        <f>J121+J122+J123+J124+J126+J125+J127+J128</f>
        <v>4700</v>
      </c>
      <c r="K120" s="57">
        <f t="shared" si="13"/>
        <v>0.7829841615464915</v>
      </c>
      <c r="L120" s="57">
        <f t="shared" si="18"/>
        <v>0.01094924927284236</v>
      </c>
      <c r="M120" s="57"/>
    </row>
    <row r="121" spans="1:13" ht="32.25" customHeight="1">
      <c r="A121" s="239"/>
      <c r="B121" s="241"/>
      <c r="C121" s="6" t="s">
        <v>91</v>
      </c>
      <c r="D121" s="9" t="s">
        <v>57</v>
      </c>
      <c r="E121" s="4">
        <v>1008.48</v>
      </c>
      <c r="F121" s="4">
        <v>1240</v>
      </c>
      <c r="G121" s="4">
        <v>1240</v>
      </c>
      <c r="H121" s="4">
        <v>2040.15</v>
      </c>
      <c r="I121" s="4">
        <v>2800</v>
      </c>
      <c r="J121" s="4">
        <v>3000</v>
      </c>
      <c r="K121" s="57">
        <f t="shared" si="13"/>
        <v>107.14285714285714</v>
      </c>
      <c r="L121" s="57">
        <f t="shared" si="18"/>
        <v>0.006988882514580229</v>
      </c>
      <c r="M121" s="58">
        <f t="shared" si="19"/>
        <v>202.29950023798193</v>
      </c>
    </row>
    <row r="122" spans="1:13" ht="15" customHeight="1">
      <c r="A122" s="239"/>
      <c r="B122" s="241"/>
      <c r="C122" s="6" t="s">
        <v>93</v>
      </c>
      <c r="D122" s="9" t="s">
        <v>16</v>
      </c>
      <c r="E122" s="4">
        <v>56.06</v>
      </c>
      <c r="F122" s="4">
        <v>70</v>
      </c>
      <c r="G122" s="4">
        <v>70</v>
      </c>
      <c r="H122" s="4">
        <v>462.23</v>
      </c>
      <c r="I122" s="4">
        <v>150</v>
      </c>
      <c r="J122" s="4">
        <v>200</v>
      </c>
      <c r="K122" s="57">
        <f t="shared" si="13"/>
        <v>133.33333333333331</v>
      </c>
      <c r="L122" s="57">
        <f t="shared" si="18"/>
        <v>0.0004659255009720153</v>
      </c>
      <c r="M122" s="58"/>
    </row>
    <row r="123" spans="1:13" ht="15.75" customHeight="1">
      <c r="A123" s="239"/>
      <c r="B123" s="241"/>
      <c r="C123" s="6" t="s">
        <v>90</v>
      </c>
      <c r="D123" s="9" t="s">
        <v>7</v>
      </c>
      <c r="E123" s="4">
        <v>395.32</v>
      </c>
      <c r="F123" s="4">
        <v>490</v>
      </c>
      <c r="G123" s="4">
        <v>490</v>
      </c>
      <c r="H123" s="4">
        <v>421.99</v>
      </c>
      <c r="I123" s="4">
        <v>1200</v>
      </c>
      <c r="J123" s="4">
        <v>1500</v>
      </c>
      <c r="K123" s="57">
        <f t="shared" si="13"/>
        <v>125</v>
      </c>
      <c r="L123" s="57">
        <f t="shared" si="18"/>
        <v>0.0034944412572901146</v>
      </c>
      <c r="M123" s="58">
        <f t="shared" si="19"/>
        <v>106.74643326925025</v>
      </c>
    </row>
    <row r="124" spans="1:13" ht="20.25" customHeight="1">
      <c r="A124" s="239"/>
      <c r="B124" s="241"/>
      <c r="C124" s="6" t="s">
        <v>191</v>
      </c>
      <c r="D124" s="9" t="s">
        <v>146</v>
      </c>
      <c r="E124" s="4"/>
      <c r="F124" s="4">
        <v>278698.4</v>
      </c>
      <c r="G124" s="4">
        <v>278698.4</v>
      </c>
      <c r="H124" s="4">
        <v>230935.99</v>
      </c>
      <c r="I124" s="4">
        <v>30000</v>
      </c>
      <c r="J124" s="4"/>
      <c r="K124" s="57">
        <f t="shared" si="13"/>
        <v>0</v>
      </c>
      <c r="L124" s="57">
        <f t="shared" si="18"/>
        <v>0</v>
      </c>
      <c r="M124" s="58"/>
    </row>
    <row r="125" spans="1:13" ht="24.75" customHeight="1">
      <c r="A125" s="239"/>
      <c r="B125" s="241"/>
      <c r="C125" s="6" t="s">
        <v>152</v>
      </c>
      <c r="D125" s="9" t="s">
        <v>146</v>
      </c>
      <c r="E125" s="4"/>
      <c r="F125" s="4"/>
      <c r="G125" s="4"/>
      <c r="H125" s="4">
        <v>25393.41</v>
      </c>
      <c r="I125" s="4">
        <v>20000</v>
      </c>
      <c r="J125" s="4"/>
      <c r="K125" s="57">
        <f aca="true" t="shared" si="28" ref="K125:K167">J125/I125*100</f>
        <v>0</v>
      </c>
      <c r="L125" s="57">
        <f t="shared" si="18"/>
        <v>0</v>
      </c>
      <c r="M125" s="58"/>
    </row>
    <row r="126" spans="1:13" ht="33" customHeight="1">
      <c r="A126" s="239"/>
      <c r="B126" s="241"/>
      <c r="C126" s="6" t="s">
        <v>117</v>
      </c>
      <c r="D126" s="9" t="s">
        <v>23</v>
      </c>
      <c r="E126" s="4">
        <v>26091.47</v>
      </c>
      <c r="F126" s="4"/>
      <c r="G126" s="4">
        <v>61437</v>
      </c>
      <c r="H126" s="4">
        <v>61437</v>
      </c>
      <c r="I126" s="4">
        <v>61437</v>
      </c>
      <c r="J126" s="4"/>
      <c r="K126" s="57">
        <f t="shared" si="28"/>
        <v>0</v>
      </c>
      <c r="L126" s="57">
        <f t="shared" si="18"/>
        <v>0</v>
      </c>
      <c r="M126" s="58">
        <f t="shared" si="19"/>
        <v>235.46776015303084</v>
      </c>
    </row>
    <row r="127" spans="1:13" ht="22.5">
      <c r="A127" s="239"/>
      <c r="B127" s="241"/>
      <c r="C127" s="6" t="s">
        <v>112</v>
      </c>
      <c r="D127" s="9" t="s">
        <v>71</v>
      </c>
      <c r="E127" s="4"/>
      <c r="F127" s="4"/>
      <c r="G127" s="4">
        <v>12000</v>
      </c>
      <c r="H127" s="4">
        <v>12000</v>
      </c>
      <c r="I127" s="4">
        <v>12000</v>
      </c>
      <c r="J127" s="4"/>
      <c r="K127" s="57">
        <f t="shared" si="28"/>
        <v>0</v>
      </c>
      <c r="L127" s="57">
        <f t="shared" si="18"/>
        <v>0</v>
      </c>
      <c r="M127" s="58"/>
    </row>
    <row r="128" spans="1:13" ht="45">
      <c r="A128" s="239"/>
      <c r="B128" s="53"/>
      <c r="C128" s="6" t="s">
        <v>193</v>
      </c>
      <c r="D128" s="9" t="s">
        <v>145</v>
      </c>
      <c r="E128" s="4"/>
      <c r="F128" s="4"/>
      <c r="G128" s="4"/>
      <c r="H128" s="4"/>
      <c r="I128" s="4">
        <v>472680.57</v>
      </c>
      <c r="J128" s="4">
        <v>0</v>
      </c>
      <c r="K128" s="57"/>
      <c r="L128" s="57">
        <f t="shared" si="18"/>
        <v>0</v>
      </c>
      <c r="M128" s="58"/>
    </row>
    <row r="129" spans="1:13" ht="20.25" customHeight="1">
      <c r="A129" s="239"/>
      <c r="B129" s="280">
        <v>80103</v>
      </c>
      <c r="C129" s="5"/>
      <c r="D129" s="7" t="s">
        <v>255</v>
      </c>
      <c r="E129" s="8">
        <f aca="true" t="shared" si="29" ref="E129:J129">E130</f>
        <v>52062</v>
      </c>
      <c r="F129" s="8">
        <f t="shared" si="29"/>
        <v>46000</v>
      </c>
      <c r="G129" s="8">
        <f t="shared" si="29"/>
        <v>53966</v>
      </c>
      <c r="H129" s="8">
        <f t="shared" si="29"/>
        <v>40474</v>
      </c>
      <c r="I129" s="8">
        <f t="shared" si="29"/>
        <v>35620</v>
      </c>
      <c r="J129" s="8">
        <f t="shared" si="29"/>
        <v>40000</v>
      </c>
      <c r="K129" s="57">
        <f t="shared" si="28"/>
        <v>112.29646266142616</v>
      </c>
      <c r="L129" s="57">
        <f t="shared" si="18"/>
        <v>0.09318510019440304</v>
      </c>
      <c r="M129" s="57">
        <f t="shared" si="19"/>
        <v>77.74192309169837</v>
      </c>
    </row>
    <row r="130" spans="1:13" ht="24" customHeight="1">
      <c r="A130" s="239"/>
      <c r="B130" s="242"/>
      <c r="C130" s="6" t="s">
        <v>112</v>
      </c>
      <c r="D130" s="9" t="s">
        <v>71</v>
      </c>
      <c r="E130" s="4">
        <v>52062</v>
      </c>
      <c r="F130" s="4">
        <v>46000</v>
      </c>
      <c r="G130" s="4">
        <v>53966</v>
      </c>
      <c r="H130" s="4">
        <v>40474</v>
      </c>
      <c r="I130" s="4">
        <v>35620</v>
      </c>
      <c r="J130" s="4">
        <v>40000</v>
      </c>
      <c r="K130" s="57">
        <f t="shared" si="28"/>
        <v>112.29646266142616</v>
      </c>
      <c r="L130" s="57">
        <f t="shared" si="18"/>
        <v>0.09318510019440304</v>
      </c>
      <c r="M130" s="58">
        <f t="shared" si="19"/>
        <v>77.74192309169837</v>
      </c>
    </row>
    <row r="131" spans="1:13" ht="15.75" customHeight="1">
      <c r="A131" s="239"/>
      <c r="B131" s="238">
        <v>80104</v>
      </c>
      <c r="C131" s="6"/>
      <c r="D131" s="7" t="s">
        <v>59</v>
      </c>
      <c r="E131" s="8" t="e">
        <f>#REF!+#REF!+#REF!+E133+E132+E134</f>
        <v>#REF!</v>
      </c>
      <c r="F131" s="8" t="e">
        <f>#REF!+#REF!+#REF!+F133+F132+F134</f>
        <v>#REF!</v>
      </c>
      <c r="G131" s="8" t="e">
        <f>#REF!+#REF!+#REF!+G133+G132+G134</f>
        <v>#REF!</v>
      </c>
      <c r="H131" s="8" t="e">
        <f>#REF!+#REF!+#REF!+H133+H132+H134</f>
        <v>#REF!</v>
      </c>
      <c r="I131" s="8">
        <f>I133+I132+I134</f>
        <v>220286</v>
      </c>
      <c r="J131" s="8">
        <f>J133+J132+J134</f>
        <v>35000</v>
      </c>
      <c r="K131" s="57">
        <f t="shared" si="28"/>
        <v>15.888435942365833</v>
      </c>
      <c r="L131" s="57">
        <f t="shared" si="18"/>
        <v>0.08153696267010267</v>
      </c>
      <c r="M131" s="57" t="e">
        <f t="shared" si="19"/>
        <v>#REF!</v>
      </c>
    </row>
    <row r="132" spans="1:13" ht="10.5" customHeight="1">
      <c r="A132" s="239"/>
      <c r="B132" s="239"/>
      <c r="C132" s="6" t="s">
        <v>96</v>
      </c>
      <c r="D132" s="9" t="s">
        <v>25</v>
      </c>
      <c r="E132" s="4">
        <v>38254.71</v>
      </c>
      <c r="F132" s="4">
        <v>52218</v>
      </c>
      <c r="G132" s="4">
        <v>52218</v>
      </c>
      <c r="H132" s="4">
        <v>18518.24</v>
      </c>
      <c r="I132" s="4">
        <v>32000</v>
      </c>
      <c r="J132" s="4">
        <v>35000</v>
      </c>
      <c r="K132" s="57">
        <f t="shared" si="28"/>
        <v>109.375</v>
      </c>
      <c r="L132" s="57">
        <f t="shared" si="18"/>
        <v>0.08153696267010267</v>
      </c>
      <c r="M132" s="58"/>
    </row>
    <row r="133" spans="1:13" ht="23.25" customHeight="1">
      <c r="A133" s="239"/>
      <c r="B133" s="242"/>
      <c r="C133" s="126" t="s">
        <v>112</v>
      </c>
      <c r="D133" s="9" t="s">
        <v>71</v>
      </c>
      <c r="E133" s="4">
        <v>186318</v>
      </c>
      <c r="F133" s="4">
        <v>190000</v>
      </c>
      <c r="G133" s="4">
        <v>118636</v>
      </c>
      <c r="H133" s="4">
        <v>88975</v>
      </c>
      <c r="I133" s="4">
        <v>124670</v>
      </c>
      <c r="J133" s="218"/>
      <c r="K133" s="57">
        <f t="shared" si="28"/>
        <v>0</v>
      </c>
      <c r="L133" s="57">
        <f t="shared" si="18"/>
        <v>0</v>
      </c>
      <c r="M133" s="58">
        <f>(H133/E133)*100</f>
        <v>47.754376925471504</v>
      </c>
    </row>
    <row r="134" spans="1:13" ht="45" customHeight="1">
      <c r="A134" s="239"/>
      <c r="B134" s="53"/>
      <c r="C134" s="6" t="s">
        <v>193</v>
      </c>
      <c r="D134" s="9" t="s">
        <v>145</v>
      </c>
      <c r="E134" s="4"/>
      <c r="F134" s="4"/>
      <c r="G134" s="4"/>
      <c r="H134" s="4"/>
      <c r="I134" s="4">
        <v>63616</v>
      </c>
      <c r="J134" s="4">
        <v>0</v>
      </c>
      <c r="K134" s="57">
        <v>0</v>
      </c>
      <c r="L134" s="57">
        <f t="shared" si="18"/>
        <v>0</v>
      </c>
      <c r="M134" s="58"/>
    </row>
    <row r="135" spans="1:13" ht="14.25" customHeight="1">
      <c r="A135" s="239"/>
      <c r="B135" s="217">
        <v>80105</v>
      </c>
      <c r="C135" s="5"/>
      <c r="D135" s="7" t="s">
        <v>457</v>
      </c>
      <c r="E135" s="8"/>
      <c r="F135" s="8"/>
      <c r="G135" s="8"/>
      <c r="H135" s="8"/>
      <c r="I135" s="8">
        <f>I136</f>
        <v>1370</v>
      </c>
      <c r="J135" s="8">
        <f>J136</f>
        <v>1500</v>
      </c>
      <c r="K135" s="57"/>
      <c r="L135" s="57"/>
      <c r="M135" s="58"/>
    </row>
    <row r="136" spans="1:13" ht="25.5" customHeight="1">
      <c r="A136" s="239"/>
      <c r="B136" s="53"/>
      <c r="C136" s="6" t="s">
        <v>112</v>
      </c>
      <c r="D136" s="9" t="s">
        <v>71</v>
      </c>
      <c r="E136" s="4"/>
      <c r="F136" s="4"/>
      <c r="G136" s="4"/>
      <c r="H136" s="4"/>
      <c r="I136" s="4">
        <v>1370</v>
      </c>
      <c r="J136" s="4">
        <v>1500</v>
      </c>
      <c r="K136" s="57"/>
      <c r="L136" s="57"/>
      <c r="M136" s="58"/>
    </row>
    <row r="137" spans="1:13" ht="15" customHeight="1">
      <c r="A137" s="239"/>
      <c r="B137" s="238">
        <v>80110</v>
      </c>
      <c r="C137" s="5"/>
      <c r="D137" s="7" t="s">
        <v>60</v>
      </c>
      <c r="E137" s="8" t="e">
        <f>#REF!+E138+E139+E140+E141+#REF!+#REF!+#REF!</f>
        <v>#REF!</v>
      </c>
      <c r="F137" s="8" t="e">
        <f>#REF!+F138+F139+F140+F141+#REF!+#REF!+#REF!</f>
        <v>#REF!</v>
      </c>
      <c r="G137" s="8" t="e">
        <f>#REF!+G138+G139+G140+G141+#REF!+#REF!+#REF!</f>
        <v>#REF!</v>
      </c>
      <c r="H137" s="8" t="e">
        <f>#REF!+H138+H139+H140+H141+#REF!+#REF!+#REF!</f>
        <v>#REF!</v>
      </c>
      <c r="I137" s="8">
        <f>I138+I139+I140+I141</f>
        <v>14588.42</v>
      </c>
      <c r="J137" s="8">
        <f>J138+J139+J140+J141</f>
        <v>0</v>
      </c>
      <c r="K137" s="57">
        <f t="shared" si="28"/>
        <v>0</v>
      </c>
      <c r="L137" s="57">
        <f t="shared" si="18"/>
        <v>0</v>
      </c>
      <c r="M137" s="58" t="e">
        <f>(H137/E137)*100</f>
        <v>#REF!</v>
      </c>
    </row>
    <row r="138" spans="1:13" ht="10.5" customHeight="1">
      <c r="A138" s="239"/>
      <c r="B138" s="240"/>
      <c r="C138" s="6" t="s">
        <v>93</v>
      </c>
      <c r="D138" s="9" t="s">
        <v>16</v>
      </c>
      <c r="E138" s="4">
        <v>56.08</v>
      </c>
      <c r="F138" s="4">
        <v>50</v>
      </c>
      <c r="G138" s="4">
        <v>50</v>
      </c>
      <c r="H138" s="4">
        <v>524.28</v>
      </c>
      <c r="I138" s="207">
        <v>550</v>
      </c>
      <c r="J138" s="4"/>
      <c r="K138" s="57">
        <f t="shared" si="28"/>
        <v>0</v>
      </c>
      <c r="L138" s="57">
        <f t="shared" si="18"/>
        <v>0</v>
      </c>
      <c r="M138" s="58">
        <f>(H138/E138)*100</f>
        <v>934.8787446504992</v>
      </c>
    </row>
    <row r="139" spans="1:13" ht="11.25" customHeight="1">
      <c r="A139" s="239"/>
      <c r="B139" s="240"/>
      <c r="C139" s="6" t="s">
        <v>90</v>
      </c>
      <c r="D139" s="9" t="s">
        <v>7</v>
      </c>
      <c r="E139" s="4">
        <v>394.29</v>
      </c>
      <c r="F139" s="4">
        <v>500</v>
      </c>
      <c r="G139" s="4">
        <v>500</v>
      </c>
      <c r="H139" s="4">
        <v>314.85</v>
      </c>
      <c r="I139" s="207">
        <v>500</v>
      </c>
      <c r="J139" s="4"/>
      <c r="K139" s="57">
        <f t="shared" si="28"/>
        <v>0</v>
      </c>
      <c r="L139" s="57">
        <f t="shared" si="18"/>
        <v>0</v>
      </c>
      <c r="M139" s="57">
        <f>(H139/E139)*100</f>
        <v>79.85239290877273</v>
      </c>
    </row>
    <row r="140" spans="1:13" ht="22.5" customHeight="1">
      <c r="A140" s="239"/>
      <c r="B140" s="241"/>
      <c r="C140" s="6" t="s">
        <v>191</v>
      </c>
      <c r="D140" s="9" t="s">
        <v>146</v>
      </c>
      <c r="E140" s="4"/>
      <c r="F140" s="4">
        <v>337724.36</v>
      </c>
      <c r="G140" s="4">
        <v>337724.36</v>
      </c>
      <c r="H140" s="4">
        <v>282021.41</v>
      </c>
      <c r="I140" s="4"/>
      <c r="J140" s="4"/>
      <c r="K140" s="57" t="e">
        <f t="shared" si="28"/>
        <v>#DIV/0!</v>
      </c>
      <c r="L140" s="57">
        <f t="shared" si="18"/>
        <v>0</v>
      </c>
      <c r="M140" s="58"/>
    </row>
    <row r="141" spans="1:13" ht="20.25" customHeight="1">
      <c r="A141" s="239"/>
      <c r="B141" s="241"/>
      <c r="C141" s="6" t="s">
        <v>152</v>
      </c>
      <c r="D141" s="9" t="s">
        <v>146</v>
      </c>
      <c r="E141" s="4"/>
      <c r="F141" s="4"/>
      <c r="G141" s="4"/>
      <c r="H141" s="4">
        <v>31993.48</v>
      </c>
      <c r="I141" s="4">
        <v>13538.42</v>
      </c>
      <c r="J141" s="4"/>
      <c r="K141" s="57">
        <f t="shared" si="28"/>
        <v>0</v>
      </c>
      <c r="L141" s="57">
        <f aca="true" t="shared" si="30" ref="L141:L172">(J141/$J$236)*100</f>
        <v>0</v>
      </c>
      <c r="M141" s="58"/>
    </row>
    <row r="142" spans="1:13" ht="16.5" customHeight="1">
      <c r="A142" s="239"/>
      <c r="B142" s="238">
        <v>80130</v>
      </c>
      <c r="C142" s="5"/>
      <c r="D142" s="7" t="s">
        <v>62</v>
      </c>
      <c r="E142" s="8" t="e">
        <f>E145+E143+E146+E147+E144+#REF!+E148</f>
        <v>#REF!</v>
      </c>
      <c r="F142" s="8" t="e">
        <f>F145+F143+F146+F147+F144+#REF!+F148</f>
        <v>#REF!</v>
      </c>
      <c r="G142" s="8" t="e">
        <f>G145+G143+G146+G147+G144+#REF!+G148</f>
        <v>#REF!</v>
      </c>
      <c r="H142" s="8" t="e">
        <f>H145+H143+H146+H147+H144+#REF!+H148</f>
        <v>#REF!</v>
      </c>
      <c r="I142" s="8">
        <f>I145+I143+I146+I147+I144+I148</f>
        <v>191991.75</v>
      </c>
      <c r="J142" s="8">
        <f>J145+J143+J146+J147+J144+J148</f>
        <v>115324.2</v>
      </c>
      <c r="K142" s="57">
        <f t="shared" si="28"/>
        <v>60.06726851544401</v>
      </c>
      <c r="L142" s="57">
        <f t="shared" si="30"/>
        <v>0.26866242829598436</v>
      </c>
      <c r="M142" s="57"/>
    </row>
    <row r="143" spans="1:13" ht="11.25" customHeight="1">
      <c r="A143" s="239"/>
      <c r="B143" s="239"/>
      <c r="C143" s="6" t="s">
        <v>93</v>
      </c>
      <c r="D143" s="9" t="s">
        <v>16</v>
      </c>
      <c r="E143" s="4">
        <v>84.66</v>
      </c>
      <c r="F143" s="4">
        <v>100</v>
      </c>
      <c r="G143" s="56">
        <v>100</v>
      </c>
      <c r="H143" s="56">
        <v>638.7</v>
      </c>
      <c r="I143" s="56">
        <v>10</v>
      </c>
      <c r="J143" s="56">
        <v>10</v>
      </c>
      <c r="K143" s="57">
        <f t="shared" si="28"/>
        <v>100</v>
      </c>
      <c r="L143" s="57">
        <f t="shared" si="30"/>
        <v>2.3296275048600763E-05</v>
      </c>
      <c r="M143" s="58" t="e">
        <f>(#REF!/E143)*100</f>
        <v>#REF!</v>
      </c>
    </row>
    <row r="144" spans="1:13" ht="11.25" customHeight="1">
      <c r="A144" s="239"/>
      <c r="B144" s="239"/>
      <c r="C144" s="6" t="s">
        <v>325</v>
      </c>
      <c r="D144" s="9" t="s">
        <v>339</v>
      </c>
      <c r="E144" s="4"/>
      <c r="F144" s="4"/>
      <c r="G144" s="56"/>
      <c r="H144" s="56">
        <v>20910.15</v>
      </c>
      <c r="I144" s="56">
        <v>0</v>
      </c>
      <c r="J144" s="56">
        <v>150</v>
      </c>
      <c r="K144" s="57" t="e">
        <f t="shared" si="28"/>
        <v>#DIV/0!</v>
      </c>
      <c r="L144" s="57">
        <f t="shared" si="30"/>
        <v>0.00034944412572901143</v>
      </c>
      <c r="M144" s="58"/>
    </row>
    <row r="145" spans="1:13" ht="13.5" customHeight="1">
      <c r="A145" s="240"/>
      <c r="B145" s="240"/>
      <c r="C145" s="6" t="s">
        <v>90</v>
      </c>
      <c r="D145" s="9" t="s">
        <v>7</v>
      </c>
      <c r="E145" s="4">
        <v>88</v>
      </c>
      <c r="F145" s="4">
        <v>100</v>
      </c>
      <c r="G145" s="56">
        <v>100</v>
      </c>
      <c r="H145" s="56">
        <v>65</v>
      </c>
      <c r="I145" s="56">
        <v>100</v>
      </c>
      <c r="J145" s="56">
        <v>150</v>
      </c>
      <c r="K145" s="57">
        <f t="shared" si="28"/>
        <v>150</v>
      </c>
      <c r="L145" s="57">
        <f t="shared" si="30"/>
        <v>0.00034944412572901143</v>
      </c>
      <c r="M145" s="58" t="e">
        <f>(#REF!/E145)*100</f>
        <v>#REF!</v>
      </c>
    </row>
    <row r="146" spans="1:13" ht="21.75" customHeight="1">
      <c r="A146" s="240"/>
      <c r="B146" s="241"/>
      <c r="C146" s="61" t="s">
        <v>191</v>
      </c>
      <c r="D146" s="9" t="s">
        <v>146</v>
      </c>
      <c r="E146" s="4"/>
      <c r="F146" s="4">
        <v>266033.42</v>
      </c>
      <c r="G146" s="56">
        <v>266033.42</v>
      </c>
      <c r="H146" s="56">
        <v>263464.68</v>
      </c>
      <c r="I146" s="56">
        <v>185492.08</v>
      </c>
      <c r="J146" s="56">
        <v>115014.2</v>
      </c>
      <c r="K146" s="57">
        <f t="shared" si="28"/>
        <v>62.00491147654391</v>
      </c>
      <c r="L146" s="57">
        <f t="shared" si="30"/>
        <v>0.2679402437694778</v>
      </c>
      <c r="M146" s="58"/>
    </row>
    <row r="147" spans="1:13" ht="27.75" customHeight="1">
      <c r="A147" s="240"/>
      <c r="B147" s="241"/>
      <c r="C147" s="61" t="s">
        <v>152</v>
      </c>
      <c r="D147" s="9" t="s">
        <v>146</v>
      </c>
      <c r="E147" s="4"/>
      <c r="F147" s="4">
        <v>15649.03</v>
      </c>
      <c r="G147" s="56">
        <v>15649.03</v>
      </c>
      <c r="H147" s="56">
        <v>15497.92</v>
      </c>
      <c r="I147" s="56">
        <v>6389.67</v>
      </c>
      <c r="J147" s="56"/>
      <c r="K147" s="57">
        <f t="shared" si="28"/>
        <v>0</v>
      </c>
      <c r="L147" s="57">
        <f t="shared" si="30"/>
        <v>0</v>
      </c>
      <c r="M147" s="58"/>
    </row>
    <row r="148" spans="1:13" ht="22.5">
      <c r="A148" s="240"/>
      <c r="B148" s="241"/>
      <c r="C148" s="61" t="s">
        <v>112</v>
      </c>
      <c r="D148" s="9" t="s">
        <v>71</v>
      </c>
      <c r="E148" s="4"/>
      <c r="F148" s="4"/>
      <c r="G148" s="56">
        <v>2480</v>
      </c>
      <c r="H148" s="56">
        <v>2480</v>
      </c>
      <c r="I148" s="56"/>
      <c r="J148" s="56"/>
      <c r="K148" s="57" t="e">
        <f t="shared" si="28"/>
        <v>#DIV/0!</v>
      </c>
      <c r="L148" s="57">
        <f t="shared" si="30"/>
        <v>0</v>
      </c>
      <c r="M148" s="58"/>
    </row>
    <row r="149" spans="1:13" ht="12.75" customHeight="1">
      <c r="A149" s="240"/>
      <c r="B149" s="280">
        <v>80148</v>
      </c>
      <c r="C149" s="132"/>
      <c r="D149" s="7" t="s">
        <v>354</v>
      </c>
      <c r="E149" s="8">
        <f aca="true" t="shared" si="31" ref="E149:J149">E150</f>
        <v>0</v>
      </c>
      <c r="F149" s="8">
        <f t="shared" si="31"/>
        <v>0</v>
      </c>
      <c r="G149" s="8">
        <f t="shared" si="31"/>
        <v>0</v>
      </c>
      <c r="H149" s="8">
        <f t="shared" si="31"/>
        <v>0</v>
      </c>
      <c r="I149" s="209">
        <f t="shared" si="31"/>
        <v>188280</v>
      </c>
      <c r="J149" s="8">
        <f t="shared" si="31"/>
        <v>0</v>
      </c>
      <c r="K149" s="57">
        <f t="shared" si="28"/>
        <v>0</v>
      </c>
      <c r="L149" s="57">
        <f t="shared" si="30"/>
        <v>0</v>
      </c>
      <c r="M149" s="57"/>
    </row>
    <row r="150" spans="1:13" ht="12.75" customHeight="1">
      <c r="A150" s="240"/>
      <c r="B150" s="302"/>
      <c r="C150" s="61" t="s">
        <v>96</v>
      </c>
      <c r="D150" s="9" t="s">
        <v>25</v>
      </c>
      <c r="E150" s="4"/>
      <c r="F150" s="4"/>
      <c r="G150" s="56"/>
      <c r="H150" s="56"/>
      <c r="I150" s="210">
        <v>188280</v>
      </c>
      <c r="J150" s="56"/>
      <c r="K150" s="57">
        <f t="shared" si="28"/>
        <v>0</v>
      </c>
      <c r="L150" s="57">
        <f t="shared" si="30"/>
        <v>0</v>
      </c>
      <c r="M150" s="58"/>
    </row>
    <row r="151" spans="1:13" ht="54.75" customHeight="1">
      <c r="A151" s="240"/>
      <c r="B151" s="336">
        <v>80149</v>
      </c>
      <c r="C151" s="61"/>
      <c r="D151" s="7" t="s">
        <v>340</v>
      </c>
      <c r="E151" s="4">
        <f aca="true" t="shared" si="32" ref="E151:J151">E152</f>
        <v>0</v>
      </c>
      <c r="F151" s="4">
        <f t="shared" si="32"/>
        <v>0</v>
      </c>
      <c r="G151" s="4">
        <f t="shared" si="32"/>
        <v>5352</v>
      </c>
      <c r="H151" s="4">
        <f t="shared" si="32"/>
        <v>4014</v>
      </c>
      <c r="I151" s="4">
        <f t="shared" si="32"/>
        <v>2740</v>
      </c>
      <c r="J151" s="4">
        <f t="shared" si="32"/>
        <v>0</v>
      </c>
      <c r="K151" s="57">
        <f t="shared" si="28"/>
        <v>0</v>
      </c>
      <c r="L151" s="57">
        <f t="shared" si="30"/>
        <v>0</v>
      </c>
      <c r="M151" s="58"/>
    </row>
    <row r="152" spans="1:13" ht="22.5" customHeight="1">
      <c r="A152" s="240"/>
      <c r="B152" s="242"/>
      <c r="C152" s="61" t="s">
        <v>112</v>
      </c>
      <c r="D152" s="9" t="s">
        <v>71</v>
      </c>
      <c r="E152" s="4"/>
      <c r="F152" s="4"/>
      <c r="G152" s="56">
        <v>5352</v>
      </c>
      <c r="H152" s="56">
        <v>4014</v>
      </c>
      <c r="I152" s="56">
        <v>2740</v>
      </c>
      <c r="J152" s="56"/>
      <c r="K152" s="57">
        <f t="shared" si="28"/>
        <v>0</v>
      </c>
      <c r="L152" s="57">
        <f t="shared" si="30"/>
        <v>0</v>
      </c>
      <c r="M152" s="58"/>
    </row>
    <row r="153" spans="1:13" ht="19.5" customHeight="1">
      <c r="A153" s="337">
        <v>851</v>
      </c>
      <c r="B153" s="5"/>
      <c r="C153" s="5"/>
      <c r="D153" s="7" t="s">
        <v>63</v>
      </c>
      <c r="E153" s="8">
        <f aca="true" t="shared" si="33" ref="E153:J153">E156+E154</f>
        <v>266</v>
      </c>
      <c r="F153" s="8">
        <f t="shared" si="33"/>
        <v>264</v>
      </c>
      <c r="G153" s="8">
        <f t="shared" si="33"/>
        <v>616</v>
      </c>
      <c r="H153" s="8">
        <f t="shared" si="33"/>
        <v>590.44</v>
      </c>
      <c r="I153" s="8">
        <f t="shared" si="33"/>
        <v>679.44</v>
      </c>
      <c r="J153" s="8">
        <f t="shared" si="33"/>
        <v>238</v>
      </c>
      <c r="K153" s="57">
        <f t="shared" si="28"/>
        <v>35.02884728600023</v>
      </c>
      <c r="L153" s="57">
        <f t="shared" si="30"/>
        <v>0.0005544513461566981</v>
      </c>
      <c r="M153" s="57">
        <f>(H153/E153)*100</f>
        <v>221.96992481203011</v>
      </c>
    </row>
    <row r="154" spans="1:13" ht="17.25" customHeight="1">
      <c r="A154" s="337"/>
      <c r="B154" s="5" t="s">
        <v>329</v>
      </c>
      <c r="C154" s="5"/>
      <c r="D154" s="7" t="s">
        <v>341</v>
      </c>
      <c r="E154" s="8">
        <f aca="true" t="shared" si="34" ref="E154:J154">E155</f>
        <v>0</v>
      </c>
      <c r="F154" s="8">
        <f t="shared" si="34"/>
        <v>0</v>
      </c>
      <c r="G154" s="8">
        <f t="shared" si="34"/>
        <v>350</v>
      </c>
      <c r="H154" s="8">
        <f t="shared" si="34"/>
        <v>347.44</v>
      </c>
      <c r="I154" s="8">
        <f t="shared" si="34"/>
        <v>347.44</v>
      </c>
      <c r="J154" s="8">
        <f t="shared" si="34"/>
        <v>0</v>
      </c>
      <c r="K154" s="57">
        <f t="shared" si="28"/>
        <v>0</v>
      </c>
      <c r="L154" s="57">
        <f t="shared" si="30"/>
        <v>0</v>
      </c>
      <c r="M154" s="57"/>
    </row>
    <row r="155" spans="1:13" ht="18" customHeight="1">
      <c r="A155" s="337"/>
      <c r="B155" s="6"/>
      <c r="C155" s="6" t="s">
        <v>325</v>
      </c>
      <c r="D155" s="9" t="s">
        <v>339</v>
      </c>
      <c r="E155" s="4"/>
      <c r="F155" s="4"/>
      <c r="G155" s="4">
        <v>350</v>
      </c>
      <c r="H155" s="4">
        <v>347.44</v>
      </c>
      <c r="I155" s="207">
        <v>347.44</v>
      </c>
      <c r="J155" s="4"/>
      <c r="K155" s="57">
        <f t="shared" si="28"/>
        <v>0</v>
      </c>
      <c r="L155" s="57">
        <f t="shared" si="30"/>
        <v>0</v>
      </c>
      <c r="M155" s="58"/>
    </row>
    <row r="156" spans="1:13" ht="12.75">
      <c r="A156" s="338"/>
      <c r="B156" s="5" t="s">
        <v>121</v>
      </c>
      <c r="C156" s="5"/>
      <c r="D156" s="7" t="s">
        <v>8</v>
      </c>
      <c r="E156" s="8">
        <f aca="true" t="shared" si="35" ref="E156:J156">E157</f>
        <v>266</v>
      </c>
      <c r="F156" s="8">
        <f t="shared" si="35"/>
        <v>264</v>
      </c>
      <c r="G156" s="8">
        <f t="shared" si="35"/>
        <v>266</v>
      </c>
      <c r="H156" s="8">
        <f t="shared" si="35"/>
        <v>243</v>
      </c>
      <c r="I156" s="8">
        <f t="shared" si="35"/>
        <v>332</v>
      </c>
      <c r="J156" s="8">
        <f t="shared" si="35"/>
        <v>238</v>
      </c>
      <c r="K156" s="57">
        <f t="shared" si="28"/>
        <v>71.6867469879518</v>
      </c>
      <c r="L156" s="57">
        <f t="shared" si="30"/>
        <v>0.0005544513461566981</v>
      </c>
      <c r="M156" s="57">
        <f aca="true" t="shared" si="36" ref="M156:M171">(H156/E156)*100</f>
        <v>91.35338345864662</v>
      </c>
    </row>
    <row r="157" spans="1:13" ht="23.25" customHeight="1">
      <c r="A157" s="338"/>
      <c r="B157" s="6"/>
      <c r="C157" s="6" t="s">
        <v>117</v>
      </c>
      <c r="D157" s="9" t="s">
        <v>68</v>
      </c>
      <c r="E157" s="4">
        <v>266</v>
      </c>
      <c r="F157" s="4">
        <v>264</v>
      </c>
      <c r="G157" s="4">
        <v>266</v>
      </c>
      <c r="H157" s="4">
        <v>243</v>
      </c>
      <c r="I157" s="4">
        <v>332</v>
      </c>
      <c r="J157" s="207">
        <v>238</v>
      </c>
      <c r="K157" s="57">
        <f t="shared" si="28"/>
        <v>71.6867469879518</v>
      </c>
      <c r="L157" s="57">
        <f t="shared" si="30"/>
        <v>0.0005544513461566981</v>
      </c>
      <c r="M157" s="58">
        <f t="shared" si="36"/>
        <v>91.35338345864662</v>
      </c>
    </row>
    <row r="158" spans="1:13" ht="12.75">
      <c r="A158" s="337">
        <v>852</v>
      </c>
      <c r="B158" s="5"/>
      <c r="C158" s="5"/>
      <c r="D158" s="7" t="s">
        <v>65</v>
      </c>
      <c r="E158" s="8" t="e">
        <f>#REF!+E162+E165+E171+E177+E183+E159+E169+E167+#REF!+E181+#REF!+#REF!</f>
        <v>#REF!</v>
      </c>
      <c r="F158" s="8" t="e">
        <f>#REF!+F162+F165+F171+F177+F183+F159+F169+F167+#REF!+F181+#REF!+#REF!</f>
        <v>#REF!</v>
      </c>
      <c r="G158" s="8" t="e">
        <f>#REF!+G162+G165+G171+G177+G183+G159+G169+G167+#REF!+G181+#REF!+#REF!</f>
        <v>#REF!</v>
      </c>
      <c r="H158" s="8" t="e">
        <f>#REF!+H162+H165+H171+H177+H183+H159+H169+H167+#REF!+H181+#REF!+#REF!</f>
        <v>#REF!</v>
      </c>
      <c r="I158" s="8">
        <f>I162+I165+I171+I177+I183+I159+I169+I167+I181</f>
        <v>701946.96</v>
      </c>
      <c r="J158" s="8">
        <f>J162+J165+J171+J177+J183+J159+J169+J167+J181</f>
        <v>1468019.3800000001</v>
      </c>
      <c r="K158" s="57">
        <f t="shared" si="28"/>
        <v>209.13537113972262</v>
      </c>
      <c r="L158" s="57">
        <f t="shared" si="30"/>
        <v>3.4199383253156364</v>
      </c>
      <c r="M158" s="57" t="e">
        <f t="shared" si="36"/>
        <v>#REF!</v>
      </c>
    </row>
    <row r="159" spans="1:13" ht="12.75">
      <c r="A159" s="337"/>
      <c r="B159" s="265" t="s">
        <v>144</v>
      </c>
      <c r="C159" s="5"/>
      <c r="D159" s="7" t="s">
        <v>170</v>
      </c>
      <c r="E159" s="8">
        <f aca="true" t="shared" si="37" ref="E159:J159">E161+E160</f>
        <v>11313.89</v>
      </c>
      <c r="F159" s="8">
        <f t="shared" si="37"/>
        <v>5280</v>
      </c>
      <c r="G159" s="8">
        <f t="shared" si="37"/>
        <v>5280</v>
      </c>
      <c r="H159" s="8">
        <f t="shared" si="37"/>
        <v>14996.96</v>
      </c>
      <c r="I159" s="8">
        <f t="shared" si="37"/>
        <v>22923.32</v>
      </c>
      <c r="J159" s="8">
        <f t="shared" si="37"/>
        <v>32414</v>
      </c>
      <c r="K159" s="57">
        <f t="shared" si="28"/>
        <v>141.401856275618</v>
      </c>
      <c r="L159" s="57">
        <f t="shared" si="30"/>
        <v>0.07551254594253451</v>
      </c>
      <c r="M159" s="58">
        <f t="shared" si="36"/>
        <v>132.55352491494966</v>
      </c>
    </row>
    <row r="160" spans="1:13" ht="12.75">
      <c r="A160" s="337"/>
      <c r="B160" s="265"/>
      <c r="C160" s="6" t="s">
        <v>93</v>
      </c>
      <c r="D160" s="9" t="s">
        <v>16</v>
      </c>
      <c r="E160" s="4">
        <v>0.33</v>
      </c>
      <c r="F160" s="4"/>
      <c r="G160" s="4"/>
      <c r="H160" s="4"/>
      <c r="I160" s="4">
        <v>5.13</v>
      </c>
      <c r="J160" s="4"/>
      <c r="K160" s="57">
        <f t="shared" si="28"/>
        <v>0</v>
      </c>
      <c r="L160" s="57">
        <f t="shared" si="30"/>
        <v>0</v>
      </c>
      <c r="M160" s="58"/>
    </row>
    <row r="161" spans="1:13" ht="12.75">
      <c r="A161" s="337"/>
      <c r="B161" s="289"/>
      <c r="C161" s="6" t="s">
        <v>90</v>
      </c>
      <c r="D161" s="9" t="s">
        <v>7</v>
      </c>
      <c r="E161" s="4">
        <v>11313.56</v>
      </c>
      <c r="F161" s="4">
        <v>5280</v>
      </c>
      <c r="G161" s="4">
        <v>5280</v>
      </c>
      <c r="H161" s="4">
        <v>14996.96</v>
      </c>
      <c r="I161" s="4">
        <v>22918.19</v>
      </c>
      <c r="J161" s="4">
        <v>32414</v>
      </c>
      <c r="K161" s="57">
        <f t="shared" si="28"/>
        <v>141.43350761992986</v>
      </c>
      <c r="L161" s="57">
        <f t="shared" si="30"/>
        <v>0.07551254594253451</v>
      </c>
      <c r="M161" s="58">
        <f t="shared" si="36"/>
        <v>132.55739130742222</v>
      </c>
    </row>
    <row r="162" spans="1:13" ht="31.5" customHeight="1">
      <c r="A162" s="339"/>
      <c r="B162" s="238">
        <v>85213</v>
      </c>
      <c r="C162" s="5"/>
      <c r="D162" s="7" t="s">
        <v>69</v>
      </c>
      <c r="E162" s="8">
        <f aca="true" t="shared" si="38" ref="E162:J162">E163+E164</f>
        <v>47109.56</v>
      </c>
      <c r="F162" s="8">
        <f t="shared" si="38"/>
        <v>54132</v>
      </c>
      <c r="G162" s="8">
        <f t="shared" si="38"/>
        <v>53115</v>
      </c>
      <c r="H162" s="8">
        <f t="shared" si="38"/>
        <v>39225</v>
      </c>
      <c r="I162" s="8">
        <f t="shared" si="38"/>
        <v>53115</v>
      </c>
      <c r="J162" s="8">
        <f t="shared" si="38"/>
        <v>56376</v>
      </c>
      <c r="K162" s="57">
        <f t="shared" si="28"/>
        <v>106.13950861338606</v>
      </c>
      <c r="L162" s="57">
        <f t="shared" si="30"/>
        <v>0.13133508021399165</v>
      </c>
      <c r="M162" s="57">
        <f t="shared" si="36"/>
        <v>83.26335461422268</v>
      </c>
    </row>
    <row r="163" spans="1:13" ht="31.5" customHeight="1">
      <c r="A163" s="339"/>
      <c r="B163" s="241"/>
      <c r="C163" s="6">
        <v>2010</v>
      </c>
      <c r="D163" s="9" t="s">
        <v>431</v>
      </c>
      <c r="E163" s="4">
        <v>26239.2</v>
      </c>
      <c r="F163" s="4">
        <v>31465</v>
      </c>
      <c r="G163" s="4">
        <v>31770</v>
      </c>
      <c r="H163" s="4">
        <v>23238</v>
      </c>
      <c r="I163" s="4">
        <v>31770</v>
      </c>
      <c r="J163" s="4">
        <v>32926</v>
      </c>
      <c r="K163" s="57">
        <f t="shared" si="28"/>
        <v>103.63865281712307</v>
      </c>
      <c r="L163" s="57">
        <f t="shared" si="30"/>
        <v>0.07670531522502287</v>
      </c>
      <c r="M163" s="58">
        <f t="shared" si="36"/>
        <v>88.56215128510016</v>
      </c>
    </row>
    <row r="164" spans="1:13" ht="24" customHeight="1">
      <c r="A164" s="339"/>
      <c r="B164" s="242"/>
      <c r="C164" s="6" t="s">
        <v>112</v>
      </c>
      <c r="D164" s="9" t="s">
        <v>71</v>
      </c>
      <c r="E164" s="4">
        <v>20870.36</v>
      </c>
      <c r="F164" s="4">
        <v>22667</v>
      </c>
      <c r="G164" s="4">
        <v>21345</v>
      </c>
      <c r="H164" s="4">
        <v>15987</v>
      </c>
      <c r="I164" s="4">
        <v>21345</v>
      </c>
      <c r="J164" s="4">
        <v>23450</v>
      </c>
      <c r="K164" s="57">
        <f t="shared" si="28"/>
        <v>109.86179433122511</v>
      </c>
      <c r="L164" s="57">
        <f t="shared" si="30"/>
        <v>0.05462976498896879</v>
      </c>
      <c r="M164" s="58">
        <f t="shared" si="36"/>
        <v>76.60145776115026</v>
      </c>
    </row>
    <row r="165" spans="1:13" ht="23.25" customHeight="1">
      <c r="A165" s="339"/>
      <c r="B165" s="238">
        <v>85214</v>
      </c>
      <c r="C165" s="5"/>
      <c r="D165" s="7" t="s">
        <v>70</v>
      </c>
      <c r="E165" s="8">
        <f aca="true" t="shared" si="39" ref="E165:J165">E166</f>
        <v>55499.66</v>
      </c>
      <c r="F165" s="8">
        <f t="shared" si="39"/>
        <v>56221.5</v>
      </c>
      <c r="G165" s="8">
        <f t="shared" si="39"/>
        <v>56222</v>
      </c>
      <c r="H165" s="8">
        <f t="shared" si="39"/>
        <v>37572</v>
      </c>
      <c r="I165" s="8">
        <f t="shared" si="39"/>
        <v>56222</v>
      </c>
      <c r="J165" s="8">
        <f t="shared" si="39"/>
        <v>49057</v>
      </c>
      <c r="K165" s="57">
        <f t="shared" si="28"/>
        <v>87.25587848173313</v>
      </c>
      <c r="L165" s="57">
        <f t="shared" si="30"/>
        <v>0.11428453650592077</v>
      </c>
      <c r="M165" s="57">
        <f t="shared" si="36"/>
        <v>67.69771202201959</v>
      </c>
    </row>
    <row r="166" spans="1:13" ht="21.75" customHeight="1">
      <c r="A166" s="339"/>
      <c r="B166" s="242"/>
      <c r="C166" s="6">
        <v>2030</v>
      </c>
      <c r="D166" s="9" t="s">
        <v>71</v>
      </c>
      <c r="E166" s="4">
        <v>55499.66</v>
      </c>
      <c r="F166" s="4">
        <v>56221.5</v>
      </c>
      <c r="G166" s="4">
        <v>56222</v>
      </c>
      <c r="H166" s="4">
        <v>37572</v>
      </c>
      <c r="I166" s="4">
        <v>56222</v>
      </c>
      <c r="J166" s="4">
        <v>49057</v>
      </c>
      <c r="K166" s="57">
        <f t="shared" si="28"/>
        <v>87.25587848173313</v>
      </c>
      <c r="L166" s="57">
        <f t="shared" si="30"/>
        <v>0.11428453650592077</v>
      </c>
      <c r="M166" s="58">
        <f t="shared" si="36"/>
        <v>67.69771202201959</v>
      </c>
    </row>
    <row r="167" spans="1:13" ht="12.75">
      <c r="A167" s="339"/>
      <c r="B167" s="125">
        <v>85215</v>
      </c>
      <c r="C167" s="5"/>
      <c r="D167" s="7" t="s">
        <v>257</v>
      </c>
      <c r="E167" s="8">
        <f aca="true" t="shared" si="40" ref="E167:J167">E168</f>
        <v>6557.6</v>
      </c>
      <c r="F167" s="8">
        <f t="shared" si="40"/>
        <v>6663.35</v>
      </c>
      <c r="G167" s="8">
        <f t="shared" si="40"/>
        <v>5640</v>
      </c>
      <c r="H167" s="8">
        <f t="shared" si="40"/>
        <v>5466</v>
      </c>
      <c r="I167" s="8">
        <f t="shared" si="40"/>
        <v>7625</v>
      </c>
      <c r="J167" s="8">
        <f t="shared" si="40"/>
        <v>7800.37</v>
      </c>
      <c r="K167" s="57">
        <f t="shared" si="28"/>
        <v>102.29993442622951</v>
      </c>
      <c r="L167" s="57">
        <f t="shared" si="30"/>
        <v>0.018171956500085393</v>
      </c>
      <c r="M167" s="57">
        <f t="shared" si="36"/>
        <v>83.35366597535683</v>
      </c>
    </row>
    <row r="168" spans="1:13" ht="24" customHeight="1">
      <c r="A168" s="339"/>
      <c r="B168" s="53"/>
      <c r="C168" s="6" t="s">
        <v>117</v>
      </c>
      <c r="D168" s="9" t="s">
        <v>431</v>
      </c>
      <c r="E168" s="4">
        <v>6557.6</v>
      </c>
      <c r="F168" s="4">
        <v>6663.35</v>
      </c>
      <c r="G168" s="4">
        <v>5640</v>
      </c>
      <c r="H168" s="4">
        <v>5466</v>
      </c>
      <c r="I168" s="4">
        <v>7625</v>
      </c>
      <c r="J168" s="4">
        <v>7800.37</v>
      </c>
      <c r="K168" s="57">
        <f aca="true" t="shared" si="41" ref="K168:K218">J168/I168*100</f>
        <v>102.29993442622951</v>
      </c>
      <c r="L168" s="57">
        <f t="shared" si="30"/>
        <v>0.018171956500085393</v>
      </c>
      <c r="M168" s="58">
        <f t="shared" si="36"/>
        <v>83.35366597535683</v>
      </c>
    </row>
    <row r="169" spans="1:13" ht="12.75">
      <c r="A169" s="339"/>
      <c r="B169" s="331">
        <v>85216</v>
      </c>
      <c r="C169" s="5"/>
      <c r="D169" s="7" t="s">
        <v>195</v>
      </c>
      <c r="E169" s="8">
        <f aca="true" t="shared" si="42" ref="E169:J169">E170</f>
        <v>251993.92</v>
      </c>
      <c r="F169" s="8">
        <f t="shared" si="42"/>
        <v>255101.76</v>
      </c>
      <c r="G169" s="8">
        <f t="shared" si="42"/>
        <v>255201</v>
      </c>
      <c r="H169" s="8">
        <f t="shared" si="42"/>
        <v>190638</v>
      </c>
      <c r="I169" s="8">
        <f t="shared" si="42"/>
        <v>255201</v>
      </c>
      <c r="J169" s="8">
        <f t="shared" si="42"/>
        <v>194555</v>
      </c>
      <c r="K169" s="57">
        <f t="shared" si="41"/>
        <v>76.23598653610291</v>
      </c>
      <c r="L169" s="57">
        <f t="shared" si="30"/>
        <v>0.4532406792080521</v>
      </c>
      <c r="M169" s="57">
        <f t="shared" si="36"/>
        <v>75.65182525038699</v>
      </c>
    </row>
    <row r="170" spans="1:13" ht="22.5">
      <c r="A170" s="339"/>
      <c r="B170" s="242"/>
      <c r="C170" s="6" t="s">
        <v>112</v>
      </c>
      <c r="D170" s="9" t="s">
        <v>71</v>
      </c>
      <c r="E170" s="4">
        <v>251993.92</v>
      </c>
      <c r="F170" s="4">
        <v>255101.76</v>
      </c>
      <c r="G170" s="4">
        <v>255201</v>
      </c>
      <c r="H170" s="4">
        <v>190638</v>
      </c>
      <c r="I170" s="4">
        <v>255201</v>
      </c>
      <c r="J170" s="4">
        <v>194555</v>
      </c>
      <c r="K170" s="57">
        <f t="shared" si="41"/>
        <v>76.23598653610291</v>
      </c>
      <c r="L170" s="57">
        <f t="shared" si="30"/>
        <v>0.4532406792080521</v>
      </c>
      <c r="M170" s="58">
        <f t="shared" si="36"/>
        <v>75.65182525038699</v>
      </c>
    </row>
    <row r="171" spans="1:13" ht="12.75">
      <c r="A171" s="339"/>
      <c r="B171" s="5">
        <v>85219</v>
      </c>
      <c r="C171" s="5"/>
      <c r="D171" s="7" t="s">
        <v>72</v>
      </c>
      <c r="E171" s="8" t="e">
        <f>E173+E174+E175+E176+#REF!+E172</f>
        <v>#REF!</v>
      </c>
      <c r="F171" s="8" t="e">
        <f>F173+F174+F175+F176+#REF!+F172</f>
        <v>#REF!</v>
      </c>
      <c r="G171" s="8" t="e">
        <f>G173+G174+G175+G176+#REF!+G172</f>
        <v>#REF!</v>
      </c>
      <c r="H171" s="8" t="e">
        <f>H173+H174+H175+H176+#REF!+H172</f>
        <v>#REF!</v>
      </c>
      <c r="I171" s="8">
        <f>I173+I174+I175+I176+I172</f>
        <v>129676</v>
      </c>
      <c r="J171" s="8">
        <f>J173+J174+J175+J176+J172</f>
        <v>114878.11</v>
      </c>
      <c r="K171" s="57">
        <f t="shared" si="41"/>
        <v>88.58856688978686</v>
      </c>
      <c r="L171" s="57">
        <f t="shared" si="30"/>
        <v>0.26762320476234136</v>
      </c>
      <c r="M171" s="57" t="e">
        <f t="shared" si="36"/>
        <v>#REF!</v>
      </c>
    </row>
    <row r="172" spans="1:13" ht="23.25" customHeight="1">
      <c r="A172" s="339"/>
      <c r="B172" s="162"/>
      <c r="C172" s="6" t="s">
        <v>323</v>
      </c>
      <c r="D172" s="9" t="s">
        <v>333</v>
      </c>
      <c r="E172" s="4"/>
      <c r="F172" s="4"/>
      <c r="G172" s="4">
        <v>11.6</v>
      </c>
      <c r="H172" s="4">
        <v>58</v>
      </c>
      <c r="I172" s="4">
        <v>58</v>
      </c>
      <c r="J172" s="4"/>
      <c r="K172" s="57">
        <f t="shared" si="41"/>
        <v>0</v>
      </c>
      <c r="L172" s="57">
        <f t="shared" si="30"/>
        <v>0</v>
      </c>
      <c r="M172" s="58"/>
    </row>
    <row r="173" spans="1:13" ht="11.25" customHeight="1">
      <c r="A173" s="339"/>
      <c r="B173" s="334"/>
      <c r="C173" s="6" t="s">
        <v>96</v>
      </c>
      <c r="D173" s="9" t="s">
        <v>25</v>
      </c>
      <c r="E173" s="4">
        <v>9007.44</v>
      </c>
      <c r="F173" s="4">
        <v>9943.12</v>
      </c>
      <c r="G173" s="4">
        <v>9943.12</v>
      </c>
      <c r="H173" s="4">
        <v>2109.63</v>
      </c>
      <c r="I173" s="4">
        <v>2600</v>
      </c>
      <c r="J173" s="4">
        <v>2659.8</v>
      </c>
      <c r="K173" s="57">
        <f t="shared" si="41"/>
        <v>102.30000000000001</v>
      </c>
      <c r="L173" s="57">
        <f aca="true" t="shared" si="43" ref="L173:L203">(J173/$J$236)*100</f>
        <v>0.006196343237426831</v>
      </c>
      <c r="M173" s="58"/>
    </row>
    <row r="174" spans="1:13" ht="12.75" customHeight="1">
      <c r="A174" s="339"/>
      <c r="B174" s="334"/>
      <c r="C174" s="6" t="s">
        <v>93</v>
      </c>
      <c r="D174" s="9" t="s">
        <v>16</v>
      </c>
      <c r="E174" s="4">
        <v>1783.37</v>
      </c>
      <c r="F174" s="4">
        <v>1747.28</v>
      </c>
      <c r="G174" s="4">
        <v>1747.28</v>
      </c>
      <c r="H174" s="4">
        <v>1151.75</v>
      </c>
      <c r="I174" s="4">
        <v>1690</v>
      </c>
      <c r="J174" s="4">
        <v>1728.87</v>
      </c>
      <c r="K174" s="57">
        <f t="shared" si="41"/>
        <v>102.3</v>
      </c>
      <c r="L174" s="57">
        <f t="shared" si="43"/>
        <v>0.004027623104327439</v>
      </c>
      <c r="M174" s="58">
        <f aca="true" t="shared" si="44" ref="M174:M179">(H174/E174)*100</f>
        <v>64.58278427920175</v>
      </c>
    </row>
    <row r="175" spans="1:13" ht="12.75" customHeight="1">
      <c r="A175" s="339"/>
      <c r="B175" s="334"/>
      <c r="C175" s="6" t="s">
        <v>90</v>
      </c>
      <c r="D175" s="9" t="s">
        <v>7</v>
      </c>
      <c r="E175" s="4">
        <v>175.56</v>
      </c>
      <c r="F175" s="4">
        <v>176.83</v>
      </c>
      <c r="G175" s="4">
        <v>176.83</v>
      </c>
      <c r="H175" s="4">
        <v>154.02</v>
      </c>
      <c r="I175" s="4">
        <v>193</v>
      </c>
      <c r="J175" s="4">
        <v>197.44</v>
      </c>
      <c r="K175" s="57">
        <f t="shared" si="41"/>
        <v>102.30051813471503</v>
      </c>
      <c r="L175" s="57">
        <f t="shared" si="43"/>
        <v>0.0004599616545595735</v>
      </c>
      <c r="M175" s="58">
        <f t="shared" si="44"/>
        <v>87.73069036226931</v>
      </c>
    </row>
    <row r="176" spans="1:13" ht="24.75" customHeight="1">
      <c r="A176" s="339"/>
      <c r="B176" s="334"/>
      <c r="C176" s="6">
        <v>2030</v>
      </c>
      <c r="D176" s="9" t="s">
        <v>73</v>
      </c>
      <c r="E176" s="4">
        <v>128513</v>
      </c>
      <c r="F176" s="4">
        <v>111348</v>
      </c>
      <c r="G176" s="4">
        <v>110880</v>
      </c>
      <c r="H176" s="4">
        <v>85587</v>
      </c>
      <c r="I176" s="4">
        <v>125135</v>
      </c>
      <c r="J176" s="4">
        <v>110292</v>
      </c>
      <c r="K176" s="57">
        <f t="shared" si="41"/>
        <v>88.13841051664203</v>
      </c>
      <c r="L176" s="57">
        <f t="shared" si="43"/>
        <v>0.2569392767660275</v>
      </c>
      <c r="M176" s="58">
        <f t="shared" si="44"/>
        <v>66.59793172675138</v>
      </c>
    </row>
    <row r="177" spans="1:13" ht="15.75" customHeight="1">
      <c r="A177" s="339"/>
      <c r="B177" s="238">
        <v>85228</v>
      </c>
      <c r="C177" s="5"/>
      <c r="D177" s="7" t="s">
        <v>74</v>
      </c>
      <c r="E177" s="8" t="e">
        <f>E179+#REF!+E178+E180</f>
        <v>#REF!</v>
      </c>
      <c r="F177" s="8" t="e">
        <f>F179+#REF!+F178+F180</f>
        <v>#REF!</v>
      </c>
      <c r="G177" s="8" t="e">
        <f>G179+#REF!+G178+G180</f>
        <v>#REF!</v>
      </c>
      <c r="H177" s="8" t="e">
        <f>H179+#REF!+H178+H180</f>
        <v>#REF!</v>
      </c>
      <c r="I177" s="8">
        <f>I179+I178+I180</f>
        <v>52779.7</v>
      </c>
      <c r="J177" s="8">
        <f>J179+J178+J180</f>
        <v>53992.9</v>
      </c>
      <c r="K177" s="57">
        <f t="shared" si="41"/>
        <v>102.29861101900921</v>
      </c>
      <c r="L177" s="57">
        <f t="shared" si="43"/>
        <v>0.12578334490715962</v>
      </c>
      <c r="M177" s="57" t="e">
        <f t="shared" si="44"/>
        <v>#REF!</v>
      </c>
    </row>
    <row r="178" spans="1:13" ht="21" customHeight="1">
      <c r="A178" s="339"/>
      <c r="B178" s="239"/>
      <c r="C178" s="6" t="s">
        <v>323</v>
      </c>
      <c r="D178" s="9" t="s">
        <v>333</v>
      </c>
      <c r="E178" s="4"/>
      <c r="F178" s="4"/>
      <c r="G178" s="4">
        <v>11.6</v>
      </c>
      <c r="H178" s="4">
        <v>11.6</v>
      </c>
      <c r="I178" s="4">
        <v>11.6</v>
      </c>
      <c r="J178" s="4">
        <v>11.87</v>
      </c>
      <c r="K178" s="57">
        <f t="shared" si="41"/>
        <v>102.32758620689654</v>
      </c>
      <c r="L178" s="57">
        <f t="shared" si="43"/>
        <v>2.76526784826891E-05</v>
      </c>
      <c r="M178" s="58"/>
    </row>
    <row r="179" spans="1:13" ht="12" customHeight="1">
      <c r="A179" s="339"/>
      <c r="B179" s="335"/>
      <c r="C179" s="6" t="s">
        <v>96</v>
      </c>
      <c r="D179" s="9" t="s">
        <v>25</v>
      </c>
      <c r="E179" s="4">
        <v>38424</v>
      </c>
      <c r="F179" s="4">
        <v>38941.34</v>
      </c>
      <c r="G179" s="4">
        <v>38941.34</v>
      </c>
      <c r="H179" s="4">
        <v>38844.03</v>
      </c>
      <c r="I179" s="4">
        <v>52767.38</v>
      </c>
      <c r="J179" s="4">
        <v>53981.03</v>
      </c>
      <c r="K179" s="57">
        <f t="shared" si="41"/>
        <v>102.30000049272864</v>
      </c>
      <c r="L179" s="57">
        <f t="shared" si="43"/>
        <v>0.1257556922286769</v>
      </c>
      <c r="M179" s="58">
        <f t="shared" si="44"/>
        <v>101.0931449094316</v>
      </c>
    </row>
    <row r="180" spans="1:13" ht="10.5" customHeight="1">
      <c r="A180" s="339"/>
      <c r="B180" s="128"/>
      <c r="C180" s="6" t="s">
        <v>90</v>
      </c>
      <c r="D180" s="9" t="s">
        <v>7</v>
      </c>
      <c r="E180" s="4"/>
      <c r="F180" s="4"/>
      <c r="G180" s="4"/>
      <c r="H180" s="4">
        <v>0.72</v>
      </c>
      <c r="I180" s="4">
        <v>0.72</v>
      </c>
      <c r="J180" s="4"/>
      <c r="K180" s="57">
        <f t="shared" si="41"/>
        <v>0</v>
      </c>
      <c r="L180" s="57">
        <f t="shared" si="43"/>
        <v>0</v>
      </c>
      <c r="M180" s="58"/>
    </row>
    <row r="181" spans="1:13" ht="12" customHeight="1">
      <c r="A181" s="339"/>
      <c r="B181" s="128" t="s">
        <v>306</v>
      </c>
      <c r="C181" s="6"/>
      <c r="D181" s="7" t="s">
        <v>307</v>
      </c>
      <c r="E181" s="8">
        <f aca="true" t="shared" si="45" ref="E181:J181">E182</f>
        <v>0</v>
      </c>
      <c r="F181" s="8">
        <f t="shared" si="45"/>
        <v>161269.6</v>
      </c>
      <c r="G181" s="8">
        <f t="shared" si="45"/>
        <v>161269.6</v>
      </c>
      <c r="H181" s="8">
        <f t="shared" si="45"/>
        <v>76047</v>
      </c>
      <c r="I181" s="8">
        <f t="shared" si="45"/>
        <v>124404.94</v>
      </c>
      <c r="J181" s="8">
        <f t="shared" si="45"/>
        <v>79196</v>
      </c>
      <c r="K181" s="57">
        <f t="shared" si="41"/>
        <v>63.659851449628924</v>
      </c>
      <c r="L181" s="57">
        <f t="shared" si="43"/>
        <v>0.18449717987489858</v>
      </c>
      <c r="M181" s="57"/>
    </row>
    <row r="182" spans="1:13" ht="23.25" customHeight="1">
      <c r="A182" s="339"/>
      <c r="B182" s="128"/>
      <c r="C182" s="6" t="s">
        <v>112</v>
      </c>
      <c r="D182" s="9" t="s">
        <v>73</v>
      </c>
      <c r="E182" s="4"/>
      <c r="F182" s="4">
        <v>161269.6</v>
      </c>
      <c r="G182" s="4">
        <v>161269.6</v>
      </c>
      <c r="H182" s="4">
        <v>76047</v>
      </c>
      <c r="I182" s="4">
        <v>124404.94</v>
      </c>
      <c r="J182" s="4">
        <v>79196</v>
      </c>
      <c r="K182" s="57">
        <f t="shared" si="41"/>
        <v>63.659851449628924</v>
      </c>
      <c r="L182" s="57">
        <f t="shared" si="43"/>
        <v>0.18449717987489858</v>
      </c>
      <c r="M182" s="58"/>
    </row>
    <row r="183" spans="1:13" ht="10.5" customHeight="1">
      <c r="A183" s="339"/>
      <c r="B183" s="132">
        <v>85295</v>
      </c>
      <c r="C183" s="5"/>
      <c r="D183" s="7" t="s">
        <v>8</v>
      </c>
      <c r="E183" s="8" t="e">
        <f>E184+#REF!+#REF!+#REF!</f>
        <v>#REF!</v>
      </c>
      <c r="F183" s="8" t="e">
        <f>F184+#REF!+#REF!+#REF!</f>
        <v>#REF!</v>
      </c>
      <c r="G183" s="8" t="e">
        <f>G184+#REF!+#REF!+#REF!</f>
        <v>#REF!</v>
      </c>
      <c r="H183" s="8" t="e">
        <f>H184+#REF!+#REF!+#REF!</f>
        <v>#REF!</v>
      </c>
      <c r="I183" s="8">
        <f>I184</f>
        <v>0</v>
      </c>
      <c r="J183" s="8">
        <f>J184</f>
        <v>879750</v>
      </c>
      <c r="K183" s="57">
        <v>0</v>
      </c>
      <c r="L183" s="57">
        <f t="shared" si="43"/>
        <v>2.049489797400652</v>
      </c>
      <c r="M183" s="57"/>
    </row>
    <row r="184" spans="1:13" ht="47.25" customHeight="1">
      <c r="A184" s="166"/>
      <c r="B184" s="129"/>
      <c r="C184" s="6" t="s">
        <v>193</v>
      </c>
      <c r="D184" s="9" t="s">
        <v>145</v>
      </c>
      <c r="E184" s="4"/>
      <c r="F184" s="4"/>
      <c r="G184" s="4"/>
      <c r="H184" s="4"/>
      <c r="I184" s="4"/>
      <c r="J184" s="4">
        <v>879750</v>
      </c>
      <c r="K184" s="57"/>
      <c r="L184" s="57">
        <f t="shared" si="43"/>
        <v>2.049489797400652</v>
      </c>
      <c r="M184" s="58"/>
    </row>
    <row r="185" spans="1:13" ht="15" customHeight="1">
      <c r="A185" s="238">
        <v>854</v>
      </c>
      <c r="B185" s="5"/>
      <c r="C185" s="6"/>
      <c r="D185" s="7" t="s">
        <v>75</v>
      </c>
      <c r="E185" s="8">
        <f aca="true" t="shared" si="46" ref="E185:J185">E186</f>
        <v>123984.9</v>
      </c>
      <c r="F185" s="8">
        <f t="shared" si="46"/>
        <v>0</v>
      </c>
      <c r="G185" s="8">
        <f t="shared" si="46"/>
        <v>70724</v>
      </c>
      <c r="H185" s="8">
        <f t="shared" si="46"/>
        <v>70724</v>
      </c>
      <c r="I185" s="8">
        <f t="shared" si="46"/>
        <v>70724</v>
      </c>
      <c r="J185" s="8">
        <f t="shared" si="46"/>
        <v>0</v>
      </c>
      <c r="K185" s="57">
        <f t="shared" si="41"/>
        <v>0</v>
      </c>
      <c r="L185" s="57">
        <f t="shared" si="43"/>
        <v>0</v>
      </c>
      <c r="M185" s="57">
        <f>(H185/E185)*100</f>
        <v>57.04243016689936</v>
      </c>
    </row>
    <row r="186" spans="1:13" ht="11.25" customHeight="1">
      <c r="A186" s="239"/>
      <c r="B186" s="238">
        <v>85415</v>
      </c>
      <c r="C186" s="6"/>
      <c r="D186" s="7" t="s">
        <v>76</v>
      </c>
      <c r="E186" s="8">
        <f aca="true" t="shared" si="47" ref="E186:J186">E187+E188</f>
        <v>123984.9</v>
      </c>
      <c r="F186" s="8">
        <f t="shared" si="47"/>
        <v>0</v>
      </c>
      <c r="G186" s="8">
        <f t="shared" si="47"/>
        <v>70724</v>
      </c>
      <c r="H186" s="8">
        <f t="shared" si="47"/>
        <v>70724</v>
      </c>
      <c r="I186" s="8">
        <f t="shared" si="47"/>
        <v>70724</v>
      </c>
      <c r="J186" s="8">
        <f t="shared" si="47"/>
        <v>0</v>
      </c>
      <c r="K186" s="57">
        <f t="shared" si="41"/>
        <v>0</v>
      </c>
      <c r="L186" s="57">
        <f t="shared" si="43"/>
        <v>0</v>
      </c>
      <c r="M186" s="57">
        <f>(H186/E186)*100</f>
        <v>57.04243016689936</v>
      </c>
    </row>
    <row r="187" spans="1:13" ht="33.75">
      <c r="A187" s="239"/>
      <c r="B187" s="239"/>
      <c r="C187" s="6">
        <v>2030</v>
      </c>
      <c r="D187" s="9" t="s">
        <v>318</v>
      </c>
      <c r="E187" s="4">
        <v>118623</v>
      </c>
      <c r="F187" s="4"/>
      <c r="G187" s="4">
        <v>68204</v>
      </c>
      <c r="H187" s="4">
        <v>68204</v>
      </c>
      <c r="I187" s="4">
        <v>68204</v>
      </c>
      <c r="J187" s="4"/>
      <c r="K187" s="57">
        <f t="shared" si="41"/>
        <v>0</v>
      </c>
      <c r="L187" s="57">
        <f t="shared" si="43"/>
        <v>0</v>
      </c>
      <c r="M187" s="58">
        <f>(H187/E187)*100</f>
        <v>57.49643829611458</v>
      </c>
    </row>
    <row r="188" spans="1:13" ht="56.25">
      <c r="A188" s="242"/>
      <c r="B188" s="241"/>
      <c r="C188" s="6" t="s">
        <v>264</v>
      </c>
      <c r="D188" s="9" t="s">
        <v>359</v>
      </c>
      <c r="E188" s="4">
        <v>5361.9</v>
      </c>
      <c r="F188" s="4"/>
      <c r="G188" s="4">
        <v>2520</v>
      </c>
      <c r="H188" s="4">
        <v>2520</v>
      </c>
      <c r="I188" s="4">
        <v>2520</v>
      </c>
      <c r="J188" s="4"/>
      <c r="K188" s="57">
        <f t="shared" si="41"/>
        <v>0</v>
      </c>
      <c r="L188" s="57">
        <f t="shared" si="43"/>
        <v>0</v>
      </c>
      <c r="M188" s="58"/>
    </row>
    <row r="189" spans="1:13" ht="12.75">
      <c r="A189" s="280">
        <v>855</v>
      </c>
      <c r="B189" s="124"/>
      <c r="C189" s="5"/>
      <c r="D189" s="7" t="s">
        <v>312</v>
      </c>
      <c r="E189" s="8" t="e">
        <f aca="true" t="shared" si="48" ref="E189:J189">E190+E192+E196+E198</f>
        <v>#REF!</v>
      </c>
      <c r="F189" s="8" t="e">
        <f t="shared" si="48"/>
        <v>#REF!</v>
      </c>
      <c r="G189" s="8" t="e">
        <f t="shared" si="48"/>
        <v>#REF!</v>
      </c>
      <c r="H189" s="8" t="e">
        <f t="shared" si="48"/>
        <v>#REF!</v>
      </c>
      <c r="I189" s="8">
        <f t="shared" si="48"/>
        <v>8563687.21</v>
      </c>
      <c r="J189" s="8">
        <f t="shared" si="48"/>
        <v>8540371.06</v>
      </c>
      <c r="K189" s="57">
        <f t="shared" si="41"/>
        <v>99.72773234906602</v>
      </c>
      <c r="L189" s="57">
        <f t="shared" si="43"/>
        <v>19.895883323087006</v>
      </c>
      <c r="M189" s="57"/>
    </row>
    <row r="190" spans="1:13" ht="17.25" customHeight="1">
      <c r="A190" s="281"/>
      <c r="B190" s="124" t="s">
        <v>308</v>
      </c>
      <c r="C190" s="5"/>
      <c r="D190" s="7" t="s">
        <v>313</v>
      </c>
      <c r="E190" s="8">
        <f aca="true" t="shared" si="49" ref="E190:J190">E191</f>
        <v>0</v>
      </c>
      <c r="F190" s="8">
        <f t="shared" si="49"/>
        <v>4659298</v>
      </c>
      <c r="G190" s="8">
        <f t="shared" si="49"/>
        <v>4851473</v>
      </c>
      <c r="H190" s="8">
        <f t="shared" si="49"/>
        <v>3805476</v>
      </c>
      <c r="I190" s="8">
        <f t="shared" si="49"/>
        <v>5069663</v>
      </c>
      <c r="J190" s="8">
        <f t="shared" si="49"/>
        <v>4887384</v>
      </c>
      <c r="K190" s="57">
        <f t="shared" si="41"/>
        <v>96.4045144618094</v>
      </c>
      <c r="L190" s="57">
        <f t="shared" si="43"/>
        <v>11.385784193213059</v>
      </c>
      <c r="M190" s="57"/>
    </row>
    <row r="191" spans="1:13" ht="34.5" customHeight="1">
      <c r="A191" s="281"/>
      <c r="B191" s="124"/>
      <c r="C191" s="6" t="s">
        <v>293</v>
      </c>
      <c r="D191" s="9" t="s">
        <v>299</v>
      </c>
      <c r="E191" s="4"/>
      <c r="F191" s="4">
        <v>4659298</v>
      </c>
      <c r="G191" s="4">
        <v>4851473</v>
      </c>
      <c r="H191" s="4">
        <v>3805476</v>
      </c>
      <c r="I191" s="4">
        <v>5069663</v>
      </c>
      <c r="J191" s="4">
        <v>4887384</v>
      </c>
      <c r="K191" s="57">
        <f t="shared" si="41"/>
        <v>96.4045144618094</v>
      </c>
      <c r="L191" s="57">
        <f t="shared" si="43"/>
        <v>11.385784193213059</v>
      </c>
      <c r="M191" s="58"/>
    </row>
    <row r="192" spans="1:13" ht="44.25" customHeight="1">
      <c r="A192" s="281"/>
      <c r="B192" s="238" t="s">
        <v>309</v>
      </c>
      <c r="C192" s="6"/>
      <c r="D192" s="7" t="s">
        <v>314</v>
      </c>
      <c r="E192" s="8" t="e">
        <f>E194+#REF!+#REF!+E195+#REF!+E193</f>
        <v>#REF!</v>
      </c>
      <c r="F192" s="8" t="e">
        <f>F194+#REF!+#REF!+F195+#REF!+F193</f>
        <v>#REF!</v>
      </c>
      <c r="G192" s="8" t="e">
        <f>G194+#REF!+#REF!+G195+#REF!+G193</f>
        <v>#REF!</v>
      </c>
      <c r="H192" s="8" t="e">
        <f>H194+#REF!+#REF!+H195+#REF!+H193</f>
        <v>#REF!</v>
      </c>
      <c r="I192" s="8">
        <f>I194+I195+I193</f>
        <v>3491848.21</v>
      </c>
      <c r="J192" s="8">
        <f>J194+J195+J193</f>
        <v>3650877.87</v>
      </c>
      <c r="K192" s="57">
        <f t="shared" si="41"/>
        <v>104.55431194129714</v>
      </c>
      <c r="L192" s="57">
        <f t="shared" si="43"/>
        <v>8.505185502836971</v>
      </c>
      <c r="M192" s="57"/>
    </row>
    <row r="193" spans="1:13" ht="24" customHeight="1">
      <c r="A193" s="281"/>
      <c r="B193" s="239"/>
      <c r="C193" s="6" t="s">
        <v>323</v>
      </c>
      <c r="D193" s="9" t="s">
        <v>333</v>
      </c>
      <c r="E193" s="4"/>
      <c r="F193" s="4"/>
      <c r="G193" s="4">
        <v>11.6</v>
      </c>
      <c r="H193" s="4">
        <v>19.2</v>
      </c>
      <c r="I193" s="4">
        <v>19.2</v>
      </c>
      <c r="J193" s="4">
        <v>11.87</v>
      </c>
      <c r="K193" s="57">
        <f t="shared" si="41"/>
        <v>61.82291666666666</v>
      </c>
      <c r="L193" s="57">
        <f t="shared" si="43"/>
        <v>2.76526784826891E-05</v>
      </c>
      <c r="M193" s="58"/>
    </row>
    <row r="194" spans="1:13" ht="15" customHeight="1">
      <c r="A194" s="281"/>
      <c r="B194" s="239"/>
      <c r="C194" s="6" t="s">
        <v>93</v>
      </c>
      <c r="D194" s="9" t="s">
        <v>16</v>
      </c>
      <c r="E194" s="4"/>
      <c r="F194" s="4">
        <v>2.7</v>
      </c>
      <c r="G194" s="4">
        <v>2.7</v>
      </c>
      <c r="H194" s="4">
        <v>4.23</v>
      </c>
      <c r="I194" s="4">
        <v>4.23</v>
      </c>
      <c r="J194" s="4"/>
      <c r="K194" s="57">
        <f t="shared" si="41"/>
        <v>0</v>
      </c>
      <c r="L194" s="57">
        <f t="shared" si="43"/>
        <v>0</v>
      </c>
      <c r="M194" s="58"/>
    </row>
    <row r="195" spans="1:13" ht="46.5" customHeight="1">
      <c r="A195" s="281"/>
      <c r="B195" s="239"/>
      <c r="C195" s="6" t="s">
        <v>117</v>
      </c>
      <c r="D195" s="9" t="s">
        <v>317</v>
      </c>
      <c r="E195" s="4"/>
      <c r="F195" s="4">
        <v>3381509</v>
      </c>
      <c r="G195" s="4">
        <v>3764244</v>
      </c>
      <c r="H195" s="4">
        <v>2663628</v>
      </c>
      <c r="I195" s="4">
        <v>3491824.78</v>
      </c>
      <c r="J195" s="4">
        <v>3650866</v>
      </c>
      <c r="K195" s="57">
        <f t="shared" si="41"/>
        <v>104.55467355953641</v>
      </c>
      <c r="L195" s="57">
        <f t="shared" si="43"/>
        <v>8.505157850158488</v>
      </c>
      <c r="M195" s="58"/>
    </row>
    <row r="196" spans="1:13" ht="12.75" customHeight="1">
      <c r="A196" s="281"/>
      <c r="B196" s="124" t="s">
        <v>310</v>
      </c>
      <c r="C196" s="5"/>
      <c r="D196" s="7" t="s">
        <v>316</v>
      </c>
      <c r="E196" s="8">
        <f aca="true" t="shared" si="50" ref="E196:J196">E197</f>
        <v>0</v>
      </c>
      <c r="F196" s="8">
        <f t="shared" si="50"/>
        <v>190.45</v>
      </c>
      <c r="G196" s="8">
        <f t="shared" si="50"/>
        <v>124</v>
      </c>
      <c r="H196" s="8">
        <f t="shared" si="50"/>
        <v>124</v>
      </c>
      <c r="I196" s="8">
        <f t="shared" si="50"/>
        <v>124</v>
      </c>
      <c r="J196" s="8">
        <f t="shared" si="50"/>
        <v>10</v>
      </c>
      <c r="K196" s="57">
        <f t="shared" si="41"/>
        <v>8.064516129032258</v>
      </c>
      <c r="L196" s="57">
        <f t="shared" si="43"/>
        <v>2.3296275048600763E-05</v>
      </c>
      <c r="M196" s="57"/>
    </row>
    <row r="197" spans="1:13" ht="45.75" customHeight="1">
      <c r="A197" s="281"/>
      <c r="B197" s="124"/>
      <c r="C197" s="6" t="s">
        <v>117</v>
      </c>
      <c r="D197" s="9" t="s">
        <v>317</v>
      </c>
      <c r="E197" s="4"/>
      <c r="F197" s="4">
        <v>190.45</v>
      </c>
      <c r="G197" s="4">
        <v>124</v>
      </c>
      <c r="H197" s="4">
        <v>124</v>
      </c>
      <c r="I197" s="4">
        <v>124</v>
      </c>
      <c r="J197" s="4">
        <v>10</v>
      </c>
      <c r="K197" s="57">
        <f t="shared" si="41"/>
        <v>8.064516129032258</v>
      </c>
      <c r="L197" s="57">
        <f t="shared" si="43"/>
        <v>2.3296275048600763E-05</v>
      </c>
      <c r="M197" s="58"/>
    </row>
    <row r="198" spans="1:13" ht="12.75">
      <c r="A198" s="281"/>
      <c r="B198" s="124" t="s">
        <v>311</v>
      </c>
      <c r="C198" s="5"/>
      <c r="D198" s="7" t="s">
        <v>251</v>
      </c>
      <c r="E198" s="8">
        <f aca="true" t="shared" si="51" ref="E198:J198">E199</f>
        <v>0</v>
      </c>
      <c r="F198" s="8">
        <f t="shared" si="51"/>
        <v>8630.76</v>
      </c>
      <c r="G198" s="8">
        <f t="shared" si="51"/>
        <v>2052</v>
      </c>
      <c r="H198" s="8">
        <f t="shared" si="51"/>
        <v>0</v>
      </c>
      <c r="I198" s="8">
        <f t="shared" si="51"/>
        <v>2052</v>
      </c>
      <c r="J198" s="8">
        <f t="shared" si="51"/>
        <v>2099.19</v>
      </c>
      <c r="K198" s="57">
        <f t="shared" si="41"/>
        <v>102.29970760233917</v>
      </c>
      <c r="L198" s="57">
        <f t="shared" si="43"/>
        <v>0.004890330761927224</v>
      </c>
      <c r="M198" s="57"/>
    </row>
    <row r="199" spans="1:13" ht="33.75" customHeight="1">
      <c r="A199" s="281"/>
      <c r="B199" s="124"/>
      <c r="C199" s="6" t="s">
        <v>112</v>
      </c>
      <c r="D199" s="9" t="s">
        <v>318</v>
      </c>
      <c r="E199" s="4"/>
      <c r="F199" s="4">
        <v>8630.76</v>
      </c>
      <c r="G199" s="4">
        <v>2052</v>
      </c>
      <c r="H199" s="4"/>
      <c r="I199" s="4">
        <v>2052</v>
      </c>
      <c r="J199" s="4">
        <v>2099.19</v>
      </c>
      <c r="K199" s="57">
        <f t="shared" si="41"/>
        <v>102.29970760233917</v>
      </c>
      <c r="L199" s="57">
        <f t="shared" si="43"/>
        <v>0.004890330761927224</v>
      </c>
      <c r="M199" s="58"/>
    </row>
    <row r="200" spans="1:13" ht="24" customHeight="1">
      <c r="A200" s="238">
        <v>900</v>
      </c>
      <c r="B200" s="5"/>
      <c r="C200" s="6"/>
      <c r="D200" s="7" t="s">
        <v>77</v>
      </c>
      <c r="E200" s="8" t="e">
        <f>E201+E219+E214+E205+E211+#REF!+E217</f>
        <v>#REF!</v>
      </c>
      <c r="F200" s="8" t="e">
        <f>F201+F219+F214+F205+F211+#REF!+F217</f>
        <v>#REF!</v>
      </c>
      <c r="G200" s="8" t="e">
        <f>G201+G219+G214+G205+G211+#REF!+G217</f>
        <v>#REF!</v>
      </c>
      <c r="H200" s="8" t="e">
        <f>H201+H219+H214+H205+H211+#REF!+H217</f>
        <v>#REF!</v>
      </c>
      <c r="I200" s="8">
        <f>I201+I219+I214+I205+I211+I217</f>
        <v>1073703.06</v>
      </c>
      <c r="J200" s="8">
        <f>J201+J219+J214+J205+J211+J217</f>
        <v>2502834.36</v>
      </c>
      <c r="K200" s="57">
        <f t="shared" si="41"/>
        <v>233.10302943534498</v>
      </c>
      <c r="L200" s="57">
        <f t="shared" si="43"/>
        <v>5.830671765164865</v>
      </c>
      <c r="M200" s="58" t="e">
        <f>(H200/E200)*100</f>
        <v>#REF!</v>
      </c>
    </row>
    <row r="201" spans="1:13" ht="11.25" customHeight="1">
      <c r="A201" s="239"/>
      <c r="B201" s="238">
        <v>90001</v>
      </c>
      <c r="C201" s="6"/>
      <c r="D201" s="7" t="s">
        <v>78</v>
      </c>
      <c r="E201" s="8" t="e">
        <f>E203+E202+E204+#REF!</f>
        <v>#REF!</v>
      </c>
      <c r="F201" s="8" t="e">
        <f>F203+F202+F204+#REF!</f>
        <v>#REF!</v>
      </c>
      <c r="G201" s="8" t="e">
        <f>G203+G202+G204+#REF!</f>
        <v>#REF!</v>
      </c>
      <c r="H201" s="8" t="e">
        <f>H203+H202+H204+#REF!</f>
        <v>#REF!</v>
      </c>
      <c r="I201" s="8">
        <f>I203+I202+I204</f>
        <v>0</v>
      </c>
      <c r="J201" s="8">
        <f>J203+J202+J204</f>
        <v>481552</v>
      </c>
      <c r="K201" s="57">
        <v>0</v>
      </c>
      <c r="L201" s="57">
        <f t="shared" si="43"/>
        <v>1.1218367842203794</v>
      </c>
      <c r="M201" s="58" t="e">
        <f>(H201/E201)*100</f>
        <v>#REF!</v>
      </c>
    </row>
    <row r="202" spans="1:13" ht="10.5" customHeight="1">
      <c r="A202" s="239"/>
      <c r="B202" s="241"/>
      <c r="C202" s="6" t="s">
        <v>96</v>
      </c>
      <c r="D202" s="9" t="s">
        <v>25</v>
      </c>
      <c r="E202" s="4">
        <v>42523.85</v>
      </c>
      <c r="F202" s="4">
        <v>65000</v>
      </c>
      <c r="G202" s="4">
        <v>65000</v>
      </c>
      <c r="H202" s="4"/>
      <c r="I202" s="4"/>
      <c r="J202" s="4">
        <v>1000</v>
      </c>
      <c r="K202" s="57">
        <v>0</v>
      </c>
      <c r="L202" s="57">
        <f t="shared" si="43"/>
        <v>0.0023296275048600764</v>
      </c>
      <c r="M202" s="58">
        <f>(H202/E202)*100</f>
        <v>0</v>
      </c>
    </row>
    <row r="203" spans="1:13" ht="13.5" customHeight="1">
      <c r="A203" s="239"/>
      <c r="B203" s="241"/>
      <c r="C203" s="6" t="s">
        <v>90</v>
      </c>
      <c r="D203" s="9" t="s">
        <v>7</v>
      </c>
      <c r="E203" s="4"/>
      <c r="F203" s="4">
        <v>3500</v>
      </c>
      <c r="G203" s="4">
        <v>3500</v>
      </c>
      <c r="H203" s="4"/>
      <c r="I203" s="4"/>
      <c r="J203" s="4">
        <v>1000</v>
      </c>
      <c r="K203" s="57">
        <v>0</v>
      </c>
      <c r="L203" s="57">
        <f t="shared" si="43"/>
        <v>0.0023296275048600764</v>
      </c>
      <c r="M203" s="58"/>
    </row>
    <row r="204" spans="1:13" ht="46.5" customHeight="1">
      <c r="A204" s="239"/>
      <c r="B204" s="241"/>
      <c r="C204" s="61" t="s">
        <v>193</v>
      </c>
      <c r="D204" s="9" t="s">
        <v>145</v>
      </c>
      <c r="E204" s="4"/>
      <c r="F204" s="4">
        <v>345956</v>
      </c>
      <c r="G204" s="4"/>
      <c r="H204" s="4"/>
      <c r="I204" s="4"/>
      <c r="J204" s="4">
        <v>479552</v>
      </c>
      <c r="K204" s="57">
        <v>0</v>
      </c>
      <c r="L204" s="57">
        <f aca="true" t="shared" si="52" ref="L204:L240">(J204/$J$236)*100</f>
        <v>1.1171775292106592</v>
      </c>
      <c r="M204" s="58"/>
    </row>
    <row r="205" spans="1:13" ht="10.5" customHeight="1">
      <c r="A205" s="239"/>
      <c r="B205" s="331">
        <v>90002</v>
      </c>
      <c r="C205" s="132"/>
      <c r="D205" s="7" t="s">
        <v>273</v>
      </c>
      <c r="E205" s="8" t="e">
        <f>E206+#REF!+E208+E210+E207+E209</f>
        <v>#REF!</v>
      </c>
      <c r="F205" s="8" t="e">
        <f>F206+#REF!+F208+F210+F207+F209</f>
        <v>#REF!</v>
      </c>
      <c r="G205" s="8" t="e">
        <f>G206+#REF!+G208+G210+G207+G209</f>
        <v>#REF!</v>
      </c>
      <c r="H205" s="8" t="e">
        <f>H206+#REF!+H208+H210+H207+H209</f>
        <v>#REF!</v>
      </c>
      <c r="I205" s="8">
        <f>I206+I208+I210+I207+I209</f>
        <v>1006626.76</v>
      </c>
      <c r="J205" s="8">
        <f>J206+J208+J210+J207+J209</f>
        <v>1607941.3599999999</v>
      </c>
      <c r="K205" s="57">
        <f t="shared" si="41"/>
        <v>159.7356064724526</v>
      </c>
      <c r="L205" s="57">
        <f t="shared" si="52"/>
        <v>3.7459044184581174</v>
      </c>
      <c r="M205" s="58"/>
    </row>
    <row r="206" spans="1:13" ht="22.5" customHeight="1">
      <c r="A206" s="239"/>
      <c r="B206" s="332"/>
      <c r="C206" s="61" t="s">
        <v>89</v>
      </c>
      <c r="D206" s="9" t="s">
        <v>19</v>
      </c>
      <c r="E206" s="4">
        <v>1017421.5</v>
      </c>
      <c r="F206" s="4">
        <v>1050000</v>
      </c>
      <c r="G206" s="4">
        <v>1050000</v>
      </c>
      <c r="H206" s="4">
        <v>731366.76</v>
      </c>
      <c r="I206" s="4">
        <v>1000000</v>
      </c>
      <c r="J206" s="4">
        <v>1100000</v>
      </c>
      <c r="K206" s="58">
        <f t="shared" si="41"/>
        <v>110.00000000000001</v>
      </c>
      <c r="L206" s="58">
        <f t="shared" si="52"/>
        <v>2.562590255346084</v>
      </c>
      <c r="M206" s="58"/>
    </row>
    <row r="207" spans="1:13" ht="24.75" customHeight="1">
      <c r="A207" s="239"/>
      <c r="B207" s="332"/>
      <c r="C207" s="61" t="s">
        <v>323</v>
      </c>
      <c r="D207" s="9" t="s">
        <v>333</v>
      </c>
      <c r="E207" s="4"/>
      <c r="F207" s="4"/>
      <c r="G207" s="4">
        <v>6000</v>
      </c>
      <c r="H207" s="4">
        <v>2822.12</v>
      </c>
      <c r="I207" s="4">
        <v>3600</v>
      </c>
      <c r="J207" s="4">
        <v>4000</v>
      </c>
      <c r="K207" s="58">
        <f t="shared" si="41"/>
        <v>111.11111111111111</v>
      </c>
      <c r="L207" s="58">
        <f t="shared" si="52"/>
        <v>0.009318510019440306</v>
      </c>
      <c r="M207" s="58"/>
    </row>
    <row r="208" spans="1:13" ht="22.5" customHeight="1">
      <c r="A208" s="239"/>
      <c r="B208" s="332"/>
      <c r="C208" s="61" t="s">
        <v>99</v>
      </c>
      <c r="D208" s="9" t="s">
        <v>39</v>
      </c>
      <c r="E208" s="4">
        <v>6250.81</v>
      </c>
      <c r="F208" s="4">
        <v>7000</v>
      </c>
      <c r="G208" s="4">
        <v>7000</v>
      </c>
      <c r="H208" s="4">
        <v>2333.44</v>
      </c>
      <c r="I208" s="4">
        <v>3000</v>
      </c>
      <c r="J208" s="4">
        <v>4000</v>
      </c>
      <c r="K208" s="58">
        <f t="shared" si="41"/>
        <v>133.33333333333331</v>
      </c>
      <c r="L208" s="58">
        <f t="shared" si="52"/>
        <v>0.009318510019440306</v>
      </c>
      <c r="M208" s="58"/>
    </row>
    <row r="209" spans="1:13" ht="12.75">
      <c r="A209" s="239"/>
      <c r="B209" s="332"/>
      <c r="C209" s="61" t="s">
        <v>325</v>
      </c>
      <c r="D209" s="9" t="s">
        <v>330</v>
      </c>
      <c r="E209" s="4"/>
      <c r="F209" s="4"/>
      <c r="G209" s="4"/>
      <c r="H209" s="4">
        <v>26.76</v>
      </c>
      <c r="I209" s="4">
        <v>26.76</v>
      </c>
      <c r="J209" s="4"/>
      <c r="K209" s="58">
        <f t="shared" si="41"/>
        <v>0</v>
      </c>
      <c r="L209" s="58">
        <f t="shared" si="52"/>
        <v>0</v>
      </c>
      <c r="M209" s="58"/>
    </row>
    <row r="210" spans="1:13" ht="45" customHeight="1">
      <c r="A210" s="239"/>
      <c r="B210" s="333"/>
      <c r="C210" s="61" t="s">
        <v>193</v>
      </c>
      <c r="D210" s="9" t="s">
        <v>145</v>
      </c>
      <c r="E210" s="4"/>
      <c r="F210" s="4">
        <v>85000</v>
      </c>
      <c r="G210" s="4">
        <v>14000</v>
      </c>
      <c r="H210" s="4"/>
      <c r="I210" s="4"/>
      <c r="J210" s="4">
        <v>499941.36</v>
      </c>
      <c r="K210" s="58">
        <v>0</v>
      </c>
      <c r="L210" s="58">
        <f t="shared" si="52"/>
        <v>1.164677143073153</v>
      </c>
      <c r="M210" s="58"/>
    </row>
    <row r="211" spans="1:13" ht="14.25" customHeight="1">
      <c r="A211" s="239"/>
      <c r="B211" s="331">
        <v>90015</v>
      </c>
      <c r="C211" s="61"/>
      <c r="D211" s="7" t="s">
        <v>300</v>
      </c>
      <c r="E211" s="8" t="e">
        <f>#REF!+E212+E213</f>
        <v>#REF!</v>
      </c>
      <c r="F211" s="8" t="e">
        <f>#REF!+F212+F213</f>
        <v>#REF!</v>
      </c>
      <c r="G211" s="8" t="e">
        <f>#REF!+G212+G213</f>
        <v>#REF!</v>
      </c>
      <c r="H211" s="8" t="e">
        <f>#REF!+H212+H213</f>
        <v>#REF!</v>
      </c>
      <c r="I211" s="8">
        <f>I212+I213</f>
        <v>0</v>
      </c>
      <c r="J211" s="8">
        <f>J212+J213</f>
        <v>114354</v>
      </c>
      <c r="K211" s="57">
        <v>0</v>
      </c>
      <c r="L211" s="57">
        <f t="shared" si="52"/>
        <v>0.26640222369076916</v>
      </c>
      <c r="M211" s="57"/>
    </row>
    <row r="212" spans="1:13" ht="46.5" customHeight="1">
      <c r="A212" s="239"/>
      <c r="B212" s="242"/>
      <c r="C212" s="61" t="s">
        <v>193</v>
      </c>
      <c r="D212" s="9" t="s">
        <v>145</v>
      </c>
      <c r="E212" s="4"/>
      <c r="F212" s="4">
        <v>88400</v>
      </c>
      <c r="G212" s="4">
        <v>42500</v>
      </c>
      <c r="H212" s="4"/>
      <c r="I212" s="4"/>
      <c r="J212" s="4">
        <v>42500</v>
      </c>
      <c r="K212" s="58">
        <v>0</v>
      </c>
      <c r="L212" s="58">
        <f t="shared" si="52"/>
        <v>0.09900916895655323</v>
      </c>
      <c r="M212" s="58"/>
    </row>
    <row r="213" spans="1:13" ht="33.75" customHeight="1">
      <c r="A213" s="239"/>
      <c r="B213" s="53"/>
      <c r="C213" s="61" t="s">
        <v>291</v>
      </c>
      <c r="D213" s="9" t="s">
        <v>292</v>
      </c>
      <c r="E213" s="4"/>
      <c r="F213" s="4"/>
      <c r="G213" s="4"/>
      <c r="H213" s="4"/>
      <c r="I213" s="4"/>
      <c r="J213" s="4">
        <v>71854</v>
      </c>
      <c r="K213" s="58">
        <v>0</v>
      </c>
      <c r="L213" s="58">
        <f t="shared" si="52"/>
        <v>0.16739305473421592</v>
      </c>
      <c r="M213" s="58"/>
    </row>
    <row r="214" spans="1:13" ht="31.5" customHeight="1">
      <c r="A214" s="239"/>
      <c r="B214" s="331">
        <v>90019</v>
      </c>
      <c r="C214" s="5"/>
      <c r="D214" s="7" t="s">
        <v>196</v>
      </c>
      <c r="E214" s="8">
        <f aca="true" t="shared" si="53" ref="E214:J214">E215+E216</f>
        <v>13667.49</v>
      </c>
      <c r="F214" s="8">
        <f t="shared" si="53"/>
        <v>20000</v>
      </c>
      <c r="G214" s="8">
        <f t="shared" si="53"/>
        <v>91000</v>
      </c>
      <c r="H214" s="8">
        <f t="shared" si="53"/>
        <v>32999.51</v>
      </c>
      <c r="I214" s="8">
        <f t="shared" si="53"/>
        <v>32999.51</v>
      </c>
      <c r="J214" s="8">
        <f t="shared" si="53"/>
        <v>15000</v>
      </c>
      <c r="K214" s="57">
        <f t="shared" si="41"/>
        <v>45.455220395696784</v>
      </c>
      <c r="L214" s="57">
        <f t="shared" si="52"/>
        <v>0.034944412572901144</v>
      </c>
      <c r="M214" s="57">
        <f>(H214/E214)*100</f>
        <v>241.44528366217938</v>
      </c>
    </row>
    <row r="215" spans="1:13" ht="15.75" customHeight="1">
      <c r="A215" s="239"/>
      <c r="B215" s="332"/>
      <c r="C215" s="6" t="s">
        <v>95</v>
      </c>
      <c r="D215" s="9" t="s">
        <v>20</v>
      </c>
      <c r="E215" s="4">
        <v>13667.49</v>
      </c>
      <c r="F215" s="4">
        <v>20000</v>
      </c>
      <c r="G215" s="4">
        <v>24000</v>
      </c>
      <c r="H215" s="4">
        <v>12924.9</v>
      </c>
      <c r="I215" s="4">
        <v>12924.9</v>
      </c>
      <c r="J215" s="4">
        <v>15000</v>
      </c>
      <c r="K215" s="58">
        <f t="shared" si="41"/>
        <v>116.05505651881253</v>
      </c>
      <c r="L215" s="58">
        <f t="shared" si="52"/>
        <v>0.034944412572901144</v>
      </c>
      <c r="M215" s="58">
        <f>(H215/E215)*100</f>
        <v>94.56674195481393</v>
      </c>
    </row>
    <row r="216" spans="1:13" ht="43.5" customHeight="1">
      <c r="A216" s="239"/>
      <c r="B216" s="156"/>
      <c r="C216" s="6" t="s">
        <v>112</v>
      </c>
      <c r="D216" s="9" t="s">
        <v>318</v>
      </c>
      <c r="E216" s="4"/>
      <c r="F216" s="4"/>
      <c r="G216" s="4">
        <v>67000</v>
      </c>
      <c r="H216" s="4">
        <v>20074.61</v>
      </c>
      <c r="I216" s="4">
        <v>20074.61</v>
      </c>
      <c r="J216" s="4"/>
      <c r="K216" s="58">
        <f t="shared" si="41"/>
        <v>0</v>
      </c>
      <c r="L216" s="58">
        <f t="shared" si="52"/>
        <v>0</v>
      </c>
      <c r="M216" s="58"/>
    </row>
    <row r="217" spans="1:13" ht="29.25" customHeight="1">
      <c r="A217" s="239"/>
      <c r="B217" s="156">
        <v>90020</v>
      </c>
      <c r="C217" s="5"/>
      <c r="D217" s="7" t="s">
        <v>322</v>
      </c>
      <c r="E217" s="8">
        <f aca="true" t="shared" si="54" ref="E217:J217">E218</f>
        <v>77.82</v>
      </c>
      <c r="F217" s="8">
        <f t="shared" si="54"/>
        <v>100</v>
      </c>
      <c r="G217" s="8">
        <f t="shared" si="54"/>
        <v>100</v>
      </c>
      <c r="H217" s="8">
        <f t="shared" si="54"/>
        <v>76.79</v>
      </c>
      <c r="I217" s="8">
        <f t="shared" si="54"/>
        <v>76.79</v>
      </c>
      <c r="J217" s="8">
        <f t="shared" si="54"/>
        <v>100</v>
      </c>
      <c r="K217" s="57">
        <f t="shared" si="41"/>
        <v>130.22528975126968</v>
      </c>
      <c r="L217" s="57">
        <f t="shared" si="52"/>
        <v>0.00023296275048600765</v>
      </c>
      <c r="M217" s="57"/>
    </row>
    <row r="218" spans="1:13" ht="20.25" customHeight="1">
      <c r="A218" s="239"/>
      <c r="B218" s="156"/>
      <c r="C218" s="6" t="s">
        <v>320</v>
      </c>
      <c r="D218" s="9" t="s">
        <v>321</v>
      </c>
      <c r="E218" s="4">
        <v>77.82</v>
      </c>
      <c r="F218" s="4">
        <v>100</v>
      </c>
      <c r="G218" s="4">
        <v>100</v>
      </c>
      <c r="H218" s="4">
        <v>76.79</v>
      </c>
      <c r="I218" s="4">
        <v>76.79</v>
      </c>
      <c r="J218" s="4">
        <v>100</v>
      </c>
      <c r="K218" s="58">
        <f t="shared" si="41"/>
        <v>130.22528975126968</v>
      </c>
      <c r="L218" s="58">
        <f t="shared" si="52"/>
        <v>0.00023296275048600765</v>
      </c>
      <c r="M218" s="58"/>
    </row>
    <row r="219" spans="1:13" ht="21.75" customHeight="1">
      <c r="A219" s="239"/>
      <c r="B219" s="238">
        <v>90095</v>
      </c>
      <c r="C219" s="5"/>
      <c r="D219" s="7" t="s">
        <v>8</v>
      </c>
      <c r="E219" s="8">
        <f aca="true" t="shared" si="55" ref="E219:J219">E220+E221</f>
        <v>37324.73</v>
      </c>
      <c r="F219" s="8">
        <f t="shared" si="55"/>
        <v>151750</v>
      </c>
      <c r="G219" s="8">
        <f t="shared" si="55"/>
        <v>116750</v>
      </c>
      <c r="H219" s="8">
        <f t="shared" si="55"/>
        <v>27115.69</v>
      </c>
      <c r="I219" s="8">
        <f t="shared" si="55"/>
        <v>34000</v>
      </c>
      <c r="J219" s="8">
        <f t="shared" si="55"/>
        <v>283887</v>
      </c>
      <c r="K219" s="57">
        <f aca="true" t="shared" si="56" ref="K219:K241">J219/I219*100</f>
        <v>834.9617647058823</v>
      </c>
      <c r="L219" s="57">
        <f t="shared" si="52"/>
        <v>0.6613509634722124</v>
      </c>
      <c r="M219" s="57">
        <f>(H219/E219)*100</f>
        <v>72.6480539845834</v>
      </c>
    </row>
    <row r="220" spans="1:13" ht="18" customHeight="1">
      <c r="A220" s="239"/>
      <c r="B220" s="239"/>
      <c r="C220" s="6" t="s">
        <v>96</v>
      </c>
      <c r="D220" s="9" t="s">
        <v>25</v>
      </c>
      <c r="E220" s="4">
        <v>37324.73</v>
      </c>
      <c r="F220" s="4">
        <v>37000</v>
      </c>
      <c r="G220" s="4">
        <v>37000</v>
      </c>
      <c r="H220" s="4">
        <v>27115.69</v>
      </c>
      <c r="I220" s="4">
        <v>34000</v>
      </c>
      <c r="J220" s="4">
        <v>36000</v>
      </c>
      <c r="K220" s="58">
        <f t="shared" si="56"/>
        <v>105.88235294117648</v>
      </c>
      <c r="L220" s="58">
        <f t="shared" si="52"/>
        <v>0.08386659017496274</v>
      </c>
      <c r="M220" s="58">
        <f>(H220/E220)*100</f>
        <v>72.6480539845834</v>
      </c>
    </row>
    <row r="221" spans="1:13" ht="45" customHeight="1">
      <c r="A221" s="242"/>
      <c r="B221" s="242"/>
      <c r="C221" s="6" t="s">
        <v>193</v>
      </c>
      <c r="D221" s="9" t="s">
        <v>145</v>
      </c>
      <c r="E221" s="4"/>
      <c r="F221" s="4">
        <v>114750</v>
      </c>
      <c r="G221" s="4">
        <v>79750</v>
      </c>
      <c r="H221" s="4"/>
      <c r="I221" s="4"/>
      <c r="J221" s="4">
        <v>247887</v>
      </c>
      <c r="K221" s="58">
        <v>0</v>
      </c>
      <c r="L221" s="58">
        <f t="shared" si="52"/>
        <v>0.5774843732972497</v>
      </c>
      <c r="M221" s="58"/>
    </row>
    <row r="222" spans="1:13" ht="23.25" customHeight="1">
      <c r="A222" s="238">
        <v>921</v>
      </c>
      <c r="B222" s="5"/>
      <c r="C222" s="6"/>
      <c r="D222" s="7" t="s">
        <v>79</v>
      </c>
      <c r="E222" s="8" t="e">
        <f>E223+E225+#REF!</f>
        <v>#REF!</v>
      </c>
      <c r="F222" s="8" t="e">
        <f>F223+F225+#REF!</f>
        <v>#REF!</v>
      </c>
      <c r="G222" s="8" t="e">
        <f>G223+G225+#REF!</f>
        <v>#REF!</v>
      </c>
      <c r="H222" s="8" t="e">
        <f>H223+H225+#REF!</f>
        <v>#REF!</v>
      </c>
      <c r="I222" s="8">
        <f>I223+I225</f>
        <v>13216</v>
      </c>
      <c r="J222" s="8">
        <f>J223+J225</f>
        <v>0</v>
      </c>
      <c r="K222" s="57">
        <f t="shared" si="56"/>
        <v>0</v>
      </c>
      <c r="L222" s="57">
        <f t="shared" si="52"/>
        <v>0</v>
      </c>
      <c r="M222" s="57" t="e">
        <f>(H222/E222)*100</f>
        <v>#REF!</v>
      </c>
    </row>
    <row r="223" spans="1:13" ht="17.25" customHeight="1">
      <c r="A223" s="239"/>
      <c r="B223" s="238">
        <v>92109</v>
      </c>
      <c r="C223" s="6"/>
      <c r="D223" s="7" t="s">
        <v>80</v>
      </c>
      <c r="E223" s="8" t="e">
        <f>E224+#REF!+#REF!</f>
        <v>#REF!</v>
      </c>
      <c r="F223" s="8" t="e">
        <f>F224+#REF!+#REF!</f>
        <v>#REF!</v>
      </c>
      <c r="G223" s="8" t="e">
        <f>G224+#REF!+#REF!</f>
        <v>#REF!</v>
      </c>
      <c r="H223" s="8" t="e">
        <f>H224+#REF!+#REF!</f>
        <v>#REF!</v>
      </c>
      <c r="I223" s="8">
        <f>I224</f>
        <v>9000</v>
      </c>
      <c r="J223" s="8">
        <f>J224</f>
        <v>0</v>
      </c>
      <c r="K223" s="57">
        <f t="shared" si="56"/>
        <v>0</v>
      </c>
      <c r="L223" s="57">
        <f t="shared" si="52"/>
        <v>0</v>
      </c>
      <c r="M223" s="57" t="e">
        <f>(H223/E223)*100</f>
        <v>#REF!</v>
      </c>
    </row>
    <row r="224" spans="1:13" ht="36.75" customHeight="1">
      <c r="A224" s="239"/>
      <c r="B224" s="239"/>
      <c r="C224" s="6" t="s">
        <v>122</v>
      </c>
      <c r="D224" s="9" t="s">
        <v>435</v>
      </c>
      <c r="E224" s="4">
        <v>10000</v>
      </c>
      <c r="F224" s="4">
        <v>10000</v>
      </c>
      <c r="G224" s="4">
        <v>10000</v>
      </c>
      <c r="H224" s="4">
        <v>9000</v>
      </c>
      <c r="I224" s="4">
        <v>9000</v>
      </c>
      <c r="J224" s="4"/>
      <c r="K224" s="58">
        <f t="shared" si="56"/>
        <v>0</v>
      </c>
      <c r="L224" s="58">
        <f t="shared" si="52"/>
        <v>0</v>
      </c>
      <c r="M224" s="58">
        <f>(H224/E224)*100</f>
        <v>90</v>
      </c>
    </row>
    <row r="225" spans="1:13" ht="12.75">
      <c r="A225" s="241"/>
      <c r="B225" s="5" t="s">
        <v>266</v>
      </c>
      <c r="C225" s="6"/>
      <c r="D225" s="7" t="s">
        <v>267</v>
      </c>
      <c r="E225" s="8">
        <f aca="true" t="shared" si="57" ref="E225:J225">E226</f>
        <v>4216</v>
      </c>
      <c r="F225" s="8">
        <f t="shared" si="57"/>
        <v>4216</v>
      </c>
      <c r="G225" s="8">
        <f t="shared" si="57"/>
        <v>4216</v>
      </c>
      <c r="H225" s="8">
        <f t="shared" si="57"/>
        <v>2108</v>
      </c>
      <c r="I225" s="8">
        <f t="shared" si="57"/>
        <v>4216</v>
      </c>
      <c r="J225" s="8">
        <f t="shared" si="57"/>
        <v>0</v>
      </c>
      <c r="K225" s="57">
        <f t="shared" si="56"/>
        <v>0</v>
      </c>
      <c r="L225" s="57">
        <f t="shared" si="52"/>
        <v>0</v>
      </c>
      <c r="M225" s="57"/>
    </row>
    <row r="226" spans="1:13" ht="38.25" customHeight="1">
      <c r="A226" s="241"/>
      <c r="B226" s="5"/>
      <c r="C226" s="6" t="s">
        <v>122</v>
      </c>
      <c r="D226" s="9" t="s">
        <v>434</v>
      </c>
      <c r="E226" s="4">
        <v>4216</v>
      </c>
      <c r="F226" s="4">
        <v>4216</v>
      </c>
      <c r="G226" s="4">
        <v>4216</v>
      </c>
      <c r="H226" s="4">
        <v>2108</v>
      </c>
      <c r="I226" s="4">
        <v>4216</v>
      </c>
      <c r="J226" s="4"/>
      <c r="K226" s="58">
        <f t="shared" si="56"/>
        <v>0</v>
      </c>
      <c r="L226" s="58">
        <f t="shared" si="52"/>
        <v>0</v>
      </c>
      <c r="M226" s="58"/>
    </row>
    <row r="227" spans="1:13" ht="12.75" customHeight="1">
      <c r="A227" s="238" t="s">
        <v>147</v>
      </c>
      <c r="B227" s="5"/>
      <c r="C227" s="5"/>
      <c r="D227" s="7" t="s">
        <v>148</v>
      </c>
      <c r="E227" s="8" t="e">
        <f aca="true" t="shared" si="58" ref="E227:J227">E234+E228</f>
        <v>#REF!</v>
      </c>
      <c r="F227" s="8" t="e">
        <f t="shared" si="58"/>
        <v>#REF!</v>
      </c>
      <c r="G227" s="8" t="e">
        <f t="shared" si="58"/>
        <v>#REF!</v>
      </c>
      <c r="H227" s="8" t="e">
        <f t="shared" si="58"/>
        <v>#REF!</v>
      </c>
      <c r="I227" s="8">
        <f t="shared" si="58"/>
        <v>402896.25</v>
      </c>
      <c r="J227" s="8">
        <f t="shared" si="58"/>
        <v>323128</v>
      </c>
      <c r="K227" s="57">
        <f t="shared" si="56"/>
        <v>80.20129251637364</v>
      </c>
      <c r="L227" s="57">
        <f t="shared" si="52"/>
        <v>0.7527678763904267</v>
      </c>
      <c r="M227" s="57" t="e">
        <f>(H227/E227)*100</f>
        <v>#REF!</v>
      </c>
    </row>
    <row r="228" spans="1:13" ht="16.5" customHeight="1">
      <c r="A228" s="239"/>
      <c r="B228" s="238" t="s">
        <v>153</v>
      </c>
      <c r="C228" s="5"/>
      <c r="D228" s="7" t="s">
        <v>171</v>
      </c>
      <c r="E228" s="8" t="e">
        <f>E231+#REF!+E229+E230+E233+#REF!+#REF!+E232</f>
        <v>#REF!</v>
      </c>
      <c r="F228" s="8" t="e">
        <f>F231+#REF!+F229+F230+F233+#REF!+#REF!+F232</f>
        <v>#REF!</v>
      </c>
      <c r="G228" s="8" t="e">
        <f>G231+#REF!+G229+G230+G233+#REF!+#REF!+G232</f>
        <v>#REF!</v>
      </c>
      <c r="H228" s="8" t="e">
        <f>H231+#REF!+H229+H230+H233+#REF!+#REF!+H232</f>
        <v>#REF!</v>
      </c>
      <c r="I228" s="8">
        <f>I229+I231+I230+I232+I233</f>
        <v>236323.07</v>
      </c>
      <c r="J228" s="8">
        <f>J229+J231+J230+J232+J233</f>
        <v>284428</v>
      </c>
      <c r="K228" s="57">
        <f t="shared" si="56"/>
        <v>120.35557933467942</v>
      </c>
      <c r="L228" s="57">
        <f t="shared" si="52"/>
        <v>0.6626112919523417</v>
      </c>
      <c r="M228" s="57" t="e">
        <f>(H228/E228)*100</f>
        <v>#REF!</v>
      </c>
    </row>
    <row r="229" spans="1:13" s="168" customFormat="1" ht="55.5" customHeight="1">
      <c r="A229" s="239"/>
      <c r="B229" s="241"/>
      <c r="C229" s="6" t="s">
        <v>91</v>
      </c>
      <c r="D229" s="9" t="s">
        <v>433</v>
      </c>
      <c r="E229" s="4">
        <v>14793.5</v>
      </c>
      <c r="F229" s="4">
        <v>14720</v>
      </c>
      <c r="G229" s="4">
        <v>14720</v>
      </c>
      <c r="H229" s="4">
        <v>9778.35</v>
      </c>
      <c r="I229" s="4">
        <v>13406.13</v>
      </c>
      <c r="J229" s="4">
        <v>63500</v>
      </c>
      <c r="K229" s="58">
        <f t="shared" si="56"/>
        <v>473.66391344854935</v>
      </c>
      <c r="L229" s="58">
        <f t="shared" si="52"/>
        <v>0.14793134655861484</v>
      </c>
      <c r="M229" s="58">
        <f>(H229/E229)*100</f>
        <v>66.0989623821273</v>
      </c>
    </row>
    <row r="230" spans="1:13" s="168" customFormat="1" ht="15.75" customHeight="1">
      <c r="A230" s="239"/>
      <c r="B230" s="241"/>
      <c r="C230" s="6" t="s">
        <v>96</v>
      </c>
      <c r="D230" s="9" t="s">
        <v>25</v>
      </c>
      <c r="E230" s="4">
        <v>277546.09</v>
      </c>
      <c r="F230" s="4">
        <v>250434</v>
      </c>
      <c r="G230" s="4">
        <v>250905.89</v>
      </c>
      <c r="H230" s="4">
        <v>162170.23</v>
      </c>
      <c r="I230" s="4">
        <v>218477.94</v>
      </c>
      <c r="J230" s="4">
        <v>219228</v>
      </c>
      <c r="K230" s="58">
        <f t="shared" si="56"/>
        <v>100.34331154898292</v>
      </c>
      <c r="L230" s="58">
        <f t="shared" si="52"/>
        <v>0.5107195786354648</v>
      </c>
      <c r="M230" s="58">
        <f>(H230/E230)*100</f>
        <v>58.4300178755896</v>
      </c>
    </row>
    <row r="231" spans="1:13" s="168" customFormat="1" ht="15.75" customHeight="1">
      <c r="A231" s="239"/>
      <c r="B231" s="241"/>
      <c r="C231" s="6" t="s">
        <v>93</v>
      </c>
      <c r="D231" s="9" t="s">
        <v>16</v>
      </c>
      <c r="E231" s="4">
        <v>233.93</v>
      </c>
      <c r="F231" s="4">
        <v>180</v>
      </c>
      <c r="G231" s="4">
        <v>180</v>
      </c>
      <c r="H231" s="4">
        <v>181.81</v>
      </c>
      <c r="I231" s="4">
        <v>190</v>
      </c>
      <c r="J231" s="4">
        <v>200</v>
      </c>
      <c r="K231" s="58">
        <f t="shared" si="56"/>
        <v>105.26315789473684</v>
      </c>
      <c r="L231" s="58">
        <f t="shared" si="52"/>
        <v>0.0004659255009720153</v>
      </c>
      <c r="M231" s="58">
        <f>(H231/E231)*100</f>
        <v>77.71983071859103</v>
      </c>
    </row>
    <row r="232" spans="1:13" s="168" customFormat="1" ht="25.5" customHeight="1">
      <c r="A232" s="239"/>
      <c r="B232" s="241"/>
      <c r="C232" s="6" t="s">
        <v>353</v>
      </c>
      <c r="D232" s="9" t="s">
        <v>355</v>
      </c>
      <c r="E232" s="4"/>
      <c r="F232" s="4"/>
      <c r="G232" s="4">
        <v>2402.25</v>
      </c>
      <c r="H232" s="4">
        <v>3805.25</v>
      </c>
      <c r="I232" s="4">
        <v>3805.25</v>
      </c>
      <c r="J232" s="4">
        <v>1000</v>
      </c>
      <c r="K232" s="58">
        <f t="shared" si="56"/>
        <v>26.279482294198804</v>
      </c>
      <c r="L232" s="58">
        <f t="shared" si="52"/>
        <v>0.0023296275048600764</v>
      </c>
      <c r="M232" s="58"/>
    </row>
    <row r="233" spans="1:13" s="168" customFormat="1" ht="17.25" customHeight="1">
      <c r="A233" s="239"/>
      <c r="B233" s="241"/>
      <c r="C233" s="6" t="s">
        <v>90</v>
      </c>
      <c r="D233" s="9" t="s">
        <v>7</v>
      </c>
      <c r="E233" s="4"/>
      <c r="F233" s="4">
        <v>150</v>
      </c>
      <c r="G233" s="4">
        <v>443.75</v>
      </c>
      <c r="H233" s="4">
        <v>130.07</v>
      </c>
      <c r="I233" s="4">
        <v>443.75</v>
      </c>
      <c r="J233" s="4">
        <v>500</v>
      </c>
      <c r="K233" s="58">
        <f t="shared" si="56"/>
        <v>112.67605633802818</v>
      </c>
      <c r="L233" s="58">
        <f t="shared" si="52"/>
        <v>0.0011648137524300382</v>
      </c>
      <c r="M233" s="58"/>
    </row>
    <row r="234" spans="1:13" ht="12.75">
      <c r="A234" s="239"/>
      <c r="B234" s="238" t="s">
        <v>188</v>
      </c>
      <c r="C234" s="5"/>
      <c r="D234" s="7" t="s">
        <v>189</v>
      </c>
      <c r="E234" s="8" t="e">
        <f>#REF!+E235+#REF!+#REF!</f>
        <v>#REF!</v>
      </c>
      <c r="F234" s="8" t="e">
        <f>#REF!+F235+#REF!+#REF!</f>
        <v>#REF!</v>
      </c>
      <c r="G234" s="8" t="e">
        <f>#REF!+G235+#REF!+#REF!</f>
        <v>#REF!</v>
      </c>
      <c r="H234" s="8" t="e">
        <f>#REF!+H235+#REF!+#REF!</f>
        <v>#REF!</v>
      </c>
      <c r="I234" s="8">
        <f>I235</f>
        <v>166573.18</v>
      </c>
      <c r="J234" s="8">
        <f>J235</f>
        <v>38700</v>
      </c>
      <c r="K234" s="57">
        <f t="shared" si="56"/>
        <v>23.233031872237778</v>
      </c>
      <c r="L234" s="57">
        <f t="shared" si="52"/>
        <v>0.09015658443808496</v>
      </c>
      <c r="M234" s="57" t="e">
        <f>(H234/E234)*100</f>
        <v>#REF!</v>
      </c>
    </row>
    <row r="235" spans="1:13" ht="16.5" customHeight="1">
      <c r="A235" s="239"/>
      <c r="B235" s="239"/>
      <c r="C235" s="6" t="s">
        <v>96</v>
      </c>
      <c r="D235" s="9" t="s">
        <v>25</v>
      </c>
      <c r="E235" s="4">
        <v>191348.5</v>
      </c>
      <c r="F235" s="4">
        <v>384217</v>
      </c>
      <c r="G235" s="4">
        <v>384217</v>
      </c>
      <c r="H235" s="4">
        <v>114548.86</v>
      </c>
      <c r="I235" s="4">
        <v>166573.18</v>
      </c>
      <c r="J235" s="4">
        <v>38700</v>
      </c>
      <c r="K235" s="57">
        <f t="shared" si="56"/>
        <v>23.233031872237778</v>
      </c>
      <c r="L235" s="57">
        <f t="shared" si="52"/>
        <v>0.09015658443808496</v>
      </c>
      <c r="M235" s="58">
        <f>(H235/E235)*100</f>
        <v>59.863996843455794</v>
      </c>
    </row>
    <row r="236" spans="1:13" ht="21.75" customHeight="1">
      <c r="A236" s="237" t="s">
        <v>172</v>
      </c>
      <c r="B236" s="237"/>
      <c r="C236" s="237"/>
      <c r="D236" s="237"/>
      <c r="E236" s="8" t="e">
        <f aca="true" t="shared" si="59" ref="E236:J236">+E222+E200+E185+E158+E153+E119+E107+E75+E66+E61+E44+E41+E26+E18+E8+E227+E189</f>
        <v>#REF!</v>
      </c>
      <c r="F236" s="8" t="e">
        <f t="shared" si="59"/>
        <v>#REF!</v>
      </c>
      <c r="G236" s="8" t="e">
        <f t="shared" si="59"/>
        <v>#REF!</v>
      </c>
      <c r="H236" s="8" t="e">
        <f t="shared" si="59"/>
        <v>#REF!</v>
      </c>
      <c r="I236" s="8">
        <f t="shared" si="59"/>
        <v>37785195.95</v>
      </c>
      <c r="J236" s="8">
        <f t="shared" si="59"/>
        <v>42925317.370000005</v>
      </c>
      <c r="K236" s="57">
        <f t="shared" si="56"/>
        <v>113.60353252316533</v>
      </c>
      <c r="L236" s="57">
        <f t="shared" si="52"/>
        <v>100</v>
      </c>
      <c r="M236" s="57" t="e">
        <f>(H236/E236)*100</f>
        <v>#REF!</v>
      </c>
    </row>
    <row r="237" spans="1:13" ht="18.75" customHeight="1">
      <c r="A237" s="55"/>
      <c r="B237" s="55"/>
      <c r="C237" s="55"/>
      <c r="D237" s="65"/>
      <c r="E237" s="64" t="e">
        <f>E10+E35+E204+#REF!+#REF!+E12+E221+E39+E24+E34+#REF!+#REF!+E25+E40+#REF!+E71+E70+#REF!+E210+#REF!+E212+#REF!+E36+E13+E134</f>
        <v>#REF!</v>
      </c>
      <c r="F237" s="64" t="e">
        <f>F10+F35+F204+#REF!+#REF!+F12+F221+F39+F24+F34+#REF!+#REF!+F25+F40+#REF!+F71+F70+#REF!+F210+#REF!+F212+#REF!+F36+F13+F134</f>
        <v>#REF!</v>
      </c>
      <c r="G237" s="64" t="e">
        <f>G10+G35+G204+#REF!+#REF!+G12+G221+G39+G24+G34+#REF!+#REF!+G25+G40+#REF!+G71+G70+#REF!+G210+#REF!+G212+#REF!+G36+G13+G134</f>
        <v>#REF!</v>
      </c>
      <c r="H237" s="64" t="e">
        <f>H10+H35+H204+#REF!+#REF!+H12+H221+H39+H24+H34+#REF!+#REF!+H25+H40+#REF!+H71+H70+#REF!+H210+#REF!+H212+#REF!+H36+H13+H134</f>
        <v>#REF!</v>
      </c>
      <c r="I237" s="64"/>
      <c r="J237" s="64"/>
      <c r="K237" s="57"/>
      <c r="L237" s="57">
        <f t="shared" si="52"/>
        <v>0</v>
      </c>
      <c r="M237" s="58" t="e">
        <f>(H237/E237)*100</f>
        <v>#REF!</v>
      </c>
    </row>
    <row r="238" spans="1:13" ht="19.5" customHeight="1">
      <c r="A238" s="55"/>
      <c r="B238" s="55"/>
      <c r="C238" s="55"/>
      <c r="D238" s="214" t="s">
        <v>438</v>
      </c>
      <c r="E238" s="64" t="e">
        <f aca="true" t="shared" si="60" ref="E238:J238">E236-E237</f>
        <v>#REF!</v>
      </c>
      <c r="F238" s="64" t="e">
        <f t="shared" si="60"/>
        <v>#REF!</v>
      </c>
      <c r="G238" s="64" t="e">
        <f t="shared" si="60"/>
        <v>#REF!</v>
      </c>
      <c r="H238" s="64" t="e">
        <f t="shared" si="60"/>
        <v>#REF!</v>
      </c>
      <c r="I238" s="64">
        <f t="shared" si="60"/>
        <v>37785195.95</v>
      </c>
      <c r="J238" s="64">
        <f t="shared" si="60"/>
        <v>42925317.370000005</v>
      </c>
      <c r="K238" s="57">
        <f t="shared" si="56"/>
        <v>113.60353252316533</v>
      </c>
      <c r="L238" s="57">
        <f t="shared" si="52"/>
        <v>100</v>
      </c>
      <c r="M238" s="58" t="e">
        <f>(H238/E238)*100</f>
        <v>#REF!</v>
      </c>
    </row>
    <row r="239" spans="1:13" ht="12.75">
      <c r="A239" s="1"/>
      <c r="B239" s="1"/>
      <c r="C239" s="1"/>
      <c r="D239" s="215" t="s">
        <v>358</v>
      </c>
      <c r="E239" s="3"/>
      <c r="F239" s="3"/>
      <c r="G239" s="3"/>
      <c r="H239" s="3"/>
      <c r="I239" s="167">
        <f>I236-I240</f>
        <v>32994111.630000003</v>
      </c>
      <c r="J239" s="167">
        <f>J236-J240</f>
        <v>33802853.730000004</v>
      </c>
      <c r="K239" s="57">
        <f t="shared" si="56"/>
        <v>102.45117101217738</v>
      </c>
      <c r="L239" s="57">
        <f t="shared" si="52"/>
        <v>78.74805779217003</v>
      </c>
      <c r="M239" s="3"/>
    </row>
    <row r="240" spans="1:13" ht="12.75">
      <c r="A240" s="1"/>
      <c r="B240" s="1"/>
      <c r="C240" s="1"/>
      <c r="D240" s="54" t="s">
        <v>439</v>
      </c>
      <c r="E240" s="3"/>
      <c r="F240" s="3"/>
      <c r="G240" s="3"/>
      <c r="H240" s="3"/>
      <c r="I240" s="167">
        <f>I10+I12+I13+I24+I25+I35+I36+I39+I40+I70+I71+I116+I128+I134++I184+I210+I212+I213+I221</f>
        <v>4791084.32</v>
      </c>
      <c r="J240" s="167">
        <f>J10+J12+J13+J24+J25+J35+J36+J39+J40+J70+J71+J116+J128+J134++J184+J210+J212+J213+J221</f>
        <v>9122463.64</v>
      </c>
      <c r="K240" s="57">
        <f t="shared" si="56"/>
        <v>190.40499040935268</v>
      </c>
      <c r="L240" s="57">
        <f t="shared" si="52"/>
        <v>21.25194220782997</v>
      </c>
      <c r="M240" s="3"/>
    </row>
    <row r="241" spans="1:13" ht="12.75">
      <c r="A241" s="1"/>
      <c r="B241" s="1"/>
      <c r="C241" s="1"/>
      <c r="D241" s="2"/>
      <c r="E241" s="3"/>
      <c r="F241" s="3"/>
      <c r="G241" s="3"/>
      <c r="H241" s="3"/>
      <c r="I241" s="216">
        <f>SUM(I239:I240)</f>
        <v>37785195.95</v>
      </c>
      <c r="J241" s="216">
        <f>SUM(J239:J240)</f>
        <v>42925317.370000005</v>
      </c>
      <c r="K241" s="57">
        <f t="shared" si="56"/>
        <v>113.60353252316533</v>
      </c>
      <c r="L241" s="216">
        <f>SUM(L239:L240)</f>
        <v>100</v>
      </c>
      <c r="M241" s="3"/>
    </row>
    <row r="242" spans="1:13" ht="12.75">
      <c r="A242" s="1"/>
      <c r="B242" s="1"/>
      <c r="C242" s="1"/>
      <c r="D242" s="2"/>
      <c r="E242" s="3"/>
      <c r="F242" s="3"/>
      <c r="G242" s="3"/>
      <c r="H242" s="3"/>
      <c r="I242" s="3"/>
      <c r="J242" s="3"/>
      <c r="K242" s="213"/>
      <c r="L242" s="3"/>
      <c r="M242" s="3"/>
    </row>
    <row r="243" spans="1:13" ht="12.75">
      <c r="A243" s="172"/>
      <c r="B243" s="172"/>
      <c r="C243" s="172"/>
      <c r="D243" s="173"/>
      <c r="E243" s="174"/>
      <c r="F243" s="174"/>
      <c r="G243" s="174"/>
      <c r="H243" s="174"/>
      <c r="I243" s="174"/>
      <c r="J243" s="174"/>
      <c r="K243" s="174"/>
      <c r="L243" s="174"/>
      <c r="M243" s="174"/>
    </row>
    <row r="244" spans="1:13" ht="12.75">
      <c r="A244" s="172"/>
      <c r="B244" s="172"/>
      <c r="C244" s="172"/>
      <c r="D244" s="173"/>
      <c r="E244" s="174"/>
      <c r="F244" s="174"/>
      <c r="G244" s="174"/>
      <c r="H244" s="174"/>
      <c r="I244" s="174"/>
      <c r="J244" s="174"/>
      <c r="K244" s="174"/>
      <c r="L244" s="174"/>
      <c r="M244" s="174"/>
    </row>
    <row r="245" spans="1:13" ht="12.75">
      <c r="A245" s="172"/>
      <c r="B245" s="172"/>
      <c r="C245" s="172"/>
      <c r="D245" s="173"/>
      <c r="E245" s="174"/>
      <c r="F245" s="174"/>
      <c r="G245" s="174"/>
      <c r="H245" s="174"/>
      <c r="I245" s="174"/>
      <c r="J245" s="174"/>
      <c r="K245" s="174"/>
      <c r="L245" s="174"/>
      <c r="M245" s="174"/>
    </row>
    <row r="246" spans="1:13" ht="12.75">
      <c r="A246" s="172"/>
      <c r="B246" s="172"/>
      <c r="C246" s="172"/>
      <c r="D246" s="173"/>
      <c r="E246" s="174"/>
      <c r="F246" s="174"/>
      <c r="G246" s="174"/>
      <c r="H246" s="174"/>
      <c r="I246" s="174"/>
      <c r="J246" s="174"/>
      <c r="K246" s="174"/>
      <c r="L246" s="174"/>
      <c r="M246" s="174"/>
    </row>
    <row r="247" spans="1:13" ht="12.75">
      <c r="A247" s="172"/>
      <c r="B247" s="172"/>
      <c r="C247" s="172"/>
      <c r="D247" s="173"/>
      <c r="E247" s="174"/>
      <c r="F247" s="174"/>
      <c r="G247" s="174"/>
      <c r="H247" s="174"/>
      <c r="I247" s="174"/>
      <c r="J247" s="174"/>
      <c r="K247" s="174"/>
      <c r="L247" s="174"/>
      <c r="M247" s="174"/>
    </row>
    <row r="248" spans="1:13" ht="12.75">
      <c r="A248" s="172"/>
      <c r="B248" s="172"/>
      <c r="C248" s="172"/>
      <c r="D248" s="173"/>
      <c r="E248" s="174"/>
      <c r="F248" s="174"/>
      <c r="G248" s="174"/>
      <c r="H248" s="174"/>
      <c r="I248" s="174"/>
      <c r="J248" s="174"/>
      <c r="K248" s="174"/>
      <c r="L248" s="174"/>
      <c r="M248" s="174"/>
    </row>
    <row r="249" spans="1:13" ht="12.75">
      <c r="A249" s="172"/>
      <c r="B249" s="172"/>
      <c r="C249" s="172"/>
      <c r="D249" s="173"/>
      <c r="E249" s="174"/>
      <c r="F249" s="174"/>
      <c r="G249" s="174"/>
      <c r="H249" s="174"/>
      <c r="I249" s="174"/>
      <c r="J249" s="174"/>
      <c r="K249" s="174"/>
      <c r="L249" s="174"/>
      <c r="M249" s="174"/>
    </row>
    <row r="250" spans="1:13" ht="12.75">
      <c r="A250" s="172"/>
      <c r="B250" s="172"/>
      <c r="C250" s="172"/>
      <c r="D250" s="173"/>
      <c r="E250" s="174"/>
      <c r="F250" s="174"/>
      <c r="G250" s="174"/>
      <c r="H250" s="174"/>
      <c r="I250" s="174"/>
      <c r="J250" s="174"/>
      <c r="K250" s="174"/>
      <c r="L250" s="174"/>
      <c r="M250" s="174"/>
    </row>
    <row r="251" spans="1:13" ht="12.75">
      <c r="A251" s="172"/>
      <c r="B251" s="172"/>
      <c r="C251" s="172"/>
      <c r="D251" s="173"/>
      <c r="E251" s="174"/>
      <c r="F251" s="174"/>
      <c r="G251" s="174"/>
      <c r="H251" s="174"/>
      <c r="I251" s="174"/>
      <c r="J251" s="174"/>
      <c r="K251" s="174"/>
      <c r="L251" s="174"/>
      <c r="M251" s="174"/>
    </row>
    <row r="252" spans="1:13" ht="12.75">
      <c r="A252" s="172"/>
      <c r="B252" s="172"/>
      <c r="C252" s="172"/>
      <c r="D252" s="173"/>
      <c r="E252" s="174"/>
      <c r="F252" s="174"/>
      <c r="G252" s="174"/>
      <c r="H252" s="174"/>
      <c r="I252" s="174"/>
      <c r="J252" s="174"/>
      <c r="K252" s="174"/>
      <c r="L252" s="174"/>
      <c r="M252" s="174"/>
    </row>
    <row r="253" spans="1:13" ht="12.75">
      <c r="A253" s="172"/>
      <c r="B253" s="172"/>
      <c r="C253" s="172"/>
      <c r="D253" s="173"/>
      <c r="E253" s="174"/>
      <c r="F253" s="174"/>
      <c r="G253" s="174"/>
      <c r="H253" s="174"/>
      <c r="I253" s="174"/>
      <c r="J253" s="174"/>
      <c r="K253" s="174"/>
      <c r="L253" s="174"/>
      <c r="M253" s="174"/>
    </row>
    <row r="254" spans="1:13" ht="12.75">
      <c r="A254" s="172"/>
      <c r="B254" s="172"/>
      <c r="C254" s="172"/>
      <c r="D254" s="173"/>
      <c r="E254" s="174"/>
      <c r="F254" s="174"/>
      <c r="G254" s="174"/>
      <c r="H254" s="174"/>
      <c r="I254" s="174"/>
      <c r="J254" s="174"/>
      <c r="K254" s="174"/>
      <c r="L254" s="174"/>
      <c r="M254" s="174"/>
    </row>
    <row r="255" spans="1:13" ht="12.75">
      <c r="A255" s="172"/>
      <c r="B255" s="172"/>
      <c r="C255" s="172"/>
      <c r="D255" s="173"/>
      <c r="E255" s="174"/>
      <c r="F255" s="174"/>
      <c r="G255" s="174"/>
      <c r="H255" s="174"/>
      <c r="I255" s="174"/>
      <c r="J255" s="174"/>
      <c r="K255" s="174"/>
      <c r="L255" s="174"/>
      <c r="M255" s="174"/>
    </row>
    <row r="256" spans="1:13" ht="12.75">
      <c r="A256" s="172"/>
      <c r="B256" s="172"/>
      <c r="C256" s="172"/>
      <c r="D256" s="173"/>
      <c r="E256" s="174"/>
      <c r="F256" s="174"/>
      <c r="G256" s="174"/>
      <c r="H256" s="174"/>
      <c r="I256" s="174"/>
      <c r="J256" s="174"/>
      <c r="K256" s="174"/>
      <c r="L256" s="174"/>
      <c r="M256" s="174"/>
    </row>
    <row r="257" spans="1:13" ht="12.75">
      <c r="A257" s="172"/>
      <c r="B257" s="172"/>
      <c r="C257" s="172"/>
      <c r="D257" s="173"/>
      <c r="E257" s="174"/>
      <c r="F257" s="174"/>
      <c r="G257" s="174"/>
      <c r="H257" s="174"/>
      <c r="I257" s="174"/>
      <c r="J257" s="174"/>
      <c r="K257" s="174"/>
      <c r="L257" s="174"/>
      <c r="M257" s="174"/>
    </row>
    <row r="258" spans="1:13" ht="12.75">
      <c r="A258" s="172"/>
      <c r="B258" s="172"/>
      <c r="C258" s="172"/>
      <c r="D258" s="173"/>
      <c r="E258" s="174"/>
      <c r="F258" s="174"/>
      <c r="G258" s="174"/>
      <c r="H258" s="174"/>
      <c r="I258" s="174"/>
      <c r="J258" s="174"/>
      <c r="K258" s="174"/>
      <c r="L258" s="174"/>
      <c r="M258" s="174"/>
    </row>
    <row r="259" spans="1:13" ht="12.75">
      <c r="A259" s="172"/>
      <c r="B259" s="172"/>
      <c r="C259" s="172"/>
      <c r="D259" s="173"/>
      <c r="E259" s="174"/>
      <c r="F259" s="174"/>
      <c r="G259" s="174"/>
      <c r="H259" s="174"/>
      <c r="I259" s="174"/>
      <c r="J259" s="174"/>
      <c r="K259" s="174"/>
      <c r="L259" s="174"/>
      <c r="M259" s="174"/>
    </row>
    <row r="260" spans="1:13" ht="12.75">
      <c r="A260" s="172"/>
      <c r="B260" s="175" t="s">
        <v>390</v>
      </c>
      <c r="C260" s="172"/>
      <c r="D260" s="186" t="s">
        <v>390</v>
      </c>
      <c r="E260" s="174"/>
      <c r="F260" s="174"/>
      <c r="G260" s="174"/>
      <c r="H260" s="174"/>
      <c r="I260" s="174"/>
      <c r="J260" s="174"/>
      <c r="K260" s="174"/>
      <c r="L260" s="174"/>
      <c r="M260" s="174"/>
    </row>
    <row r="261" spans="1:13" ht="12.75">
      <c r="A261" s="172"/>
      <c r="B261" s="172"/>
      <c r="C261" s="175" t="s">
        <v>264</v>
      </c>
      <c r="D261" s="173"/>
      <c r="E261" s="174"/>
      <c r="F261" s="174"/>
      <c r="G261" s="174"/>
      <c r="H261" s="174"/>
      <c r="I261" s="176">
        <f>I188</f>
        <v>2520</v>
      </c>
      <c r="J261" s="174">
        <f>J188</f>
        <v>0</v>
      </c>
      <c r="K261" s="174"/>
      <c r="L261" s="174"/>
      <c r="M261" s="174"/>
    </row>
    <row r="262" spans="3:10" ht="12.75">
      <c r="C262">
        <v>2060</v>
      </c>
      <c r="I262" s="177">
        <f>I191</f>
        <v>5069663</v>
      </c>
      <c r="J262" s="171">
        <f>J191</f>
        <v>4887384</v>
      </c>
    </row>
    <row r="263" spans="3:10" ht="12.75">
      <c r="C263">
        <v>2010</v>
      </c>
      <c r="I263" s="171" t="e">
        <f>I17+I46+I63+I126+#REF!+I157+I163+I168+I195+I197</f>
        <v>#REF!</v>
      </c>
      <c r="J263" s="171" t="e">
        <f>J17+J46+J63+J126+#REF!+J157+J163+J168+J195+J197</f>
        <v>#REF!</v>
      </c>
    </row>
    <row r="264" spans="4:10" ht="12.75">
      <c r="D264" s="168" t="s">
        <v>377</v>
      </c>
      <c r="I264" s="179" t="e">
        <f>SUM(I261:I263)</f>
        <v>#REF!</v>
      </c>
      <c r="J264" s="179" t="e">
        <f>SUM(J261:J263)</f>
        <v>#REF!</v>
      </c>
    </row>
    <row r="265" spans="3:10" ht="12.75">
      <c r="C265">
        <v>2020</v>
      </c>
      <c r="I265" s="177">
        <f>I43+I73</f>
        <v>103900</v>
      </c>
      <c r="J265" s="177">
        <f>J43+J73</f>
        <v>4000</v>
      </c>
    </row>
    <row r="266" spans="3:10" ht="12.75">
      <c r="C266">
        <v>2030</v>
      </c>
      <c r="I266" s="177">
        <f>I115++I127+I130+I133+I148+I152+I164+I166+I170+I176+I182+I187+I199+I216</f>
        <v>861434.57</v>
      </c>
      <c r="J266" s="177">
        <f>J115++J127+J130+J133+J148+J152+J164+J166+J170+J176+J182+J187+J199+J216</f>
        <v>513094.17</v>
      </c>
    </row>
    <row r="267" spans="3:10" ht="12.75">
      <c r="C267">
        <v>2320</v>
      </c>
      <c r="I267" s="177" t="e">
        <f>#REF!+I224+I226</f>
        <v>#REF!</v>
      </c>
      <c r="J267" s="177" t="e">
        <f>#REF!+J224+J226</f>
        <v>#REF!</v>
      </c>
    </row>
    <row r="268" spans="3:10" ht="12.75">
      <c r="C268">
        <v>2710</v>
      </c>
      <c r="I268" s="177">
        <f>I55</f>
        <v>10000</v>
      </c>
      <c r="J268" s="177">
        <f>J55</f>
        <v>0</v>
      </c>
    </row>
    <row r="269" spans="4:10" ht="12.75">
      <c r="D269" s="50" t="s">
        <v>364</v>
      </c>
      <c r="E269" s="50"/>
      <c r="F269" s="50"/>
      <c r="G269" s="50"/>
      <c r="H269" s="50"/>
      <c r="I269" s="180" t="e">
        <f>SUM(I265:I268)</f>
        <v>#REF!</v>
      </c>
      <c r="J269" s="180" t="e">
        <f>SUM(J265:J268)</f>
        <v>#REF!</v>
      </c>
    </row>
    <row r="270" spans="3:10" ht="12.75">
      <c r="C270">
        <v>2007</v>
      </c>
      <c r="I270" s="177">
        <f>I124+I140++I146</f>
        <v>215492.08</v>
      </c>
      <c r="J270" s="177">
        <f>J124+J140++J146</f>
        <v>115014.2</v>
      </c>
    </row>
    <row r="271" spans="3:10" ht="12.75">
      <c r="C271">
        <v>2009</v>
      </c>
      <c r="D271" s="168"/>
      <c r="I271" s="177">
        <f>I125++I141+I147</f>
        <v>39928.09</v>
      </c>
      <c r="J271" s="177">
        <f>J125++J141+J147</f>
        <v>0</v>
      </c>
    </row>
    <row r="272" spans="4:10" ht="12.75">
      <c r="D272" s="168" t="s">
        <v>376</v>
      </c>
      <c r="I272" s="180">
        <f>SUM(I270:I271)</f>
        <v>255420.16999999998</v>
      </c>
      <c r="J272" s="180">
        <f>SUM(J270:J271)</f>
        <v>115014.2</v>
      </c>
    </row>
    <row r="273" spans="4:10" ht="33.75" customHeight="1">
      <c r="D273" s="168" t="s">
        <v>383</v>
      </c>
      <c r="I273" s="179" t="e">
        <f>I272+I269+I264</f>
        <v>#REF!</v>
      </c>
      <c r="J273" s="179" t="e">
        <f>J272+J269+J264</f>
        <v>#REF!</v>
      </c>
    </row>
    <row r="274" spans="4:10" ht="12.75">
      <c r="D274" s="168"/>
      <c r="I274" s="179"/>
      <c r="J274" s="180"/>
    </row>
    <row r="275" spans="3:10" ht="12.75">
      <c r="C275">
        <v>6297</v>
      </c>
      <c r="I275" s="171">
        <f>I12+I24+I39++I70+I128+I134+I184+I204+I210+I212+I221</f>
        <v>1893845.57</v>
      </c>
      <c r="J275" s="171">
        <f>J12+J24+J39++J70+J128+J134+J184+J204+J210+J212+J221</f>
        <v>6953296.670000001</v>
      </c>
    </row>
    <row r="276" spans="3:10" ht="20.25" customHeight="1">
      <c r="C276">
        <v>6330</v>
      </c>
      <c r="I276" s="177">
        <f>I13+I25+I40+I71+I116+I213</f>
        <v>2391933.75</v>
      </c>
      <c r="J276" s="171">
        <f>J13+J25+J40+J71+J116+J213</f>
        <v>2092718.97</v>
      </c>
    </row>
    <row r="277" spans="3:10" ht="15.75" customHeight="1">
      <c r="C277">
        <v>6630</v>
      </c>
      <c r="I277" s="178">
        <v>0</v>
      </c>
      <c r="J277" s="168">
        <v>0</v>
      </c>
    </row>
    <row r="278" spans="4:10" ht="15.75" customHeight="1">
      <c r="D278" s="168" t="s">
        <v>378</v>
      </c>
      <c r="I278" s="179">
        <f>SUM(I275:I277)</f>
        <v>4285779.32</v>
      </c>
      <c r="J278" s="179">
        <f>SUM(J275:J277)</f>
        <v>9046015.64</v>
      </c>
    </row>
    <row r="279" spans="4:9" ht="12.75">
      <c r="D279" s="168"/>
      <c r="I279" s="177"/>
    </row>
    <row r="280" spans="9:10" ht="12.75">
      <c r="I280" s="179"/>
      <c r="J280" s="179"/>
    </row>
    <row r="282" spans="3:10" ht="12.75">
      <c r="C282">
        <v>2920</v>
      </c>
      <c r="D282" s="168" t="s">
        <v>361</v>
      </c>
      <c r="I282" s="179">
        <f>I108+I111+I118</f>
        <v>11872907</v>
      </c>
      <c r="J282" s="179">
        <f>J108+J111+J118</f>
        <v>12791120</v>
      </c>
    </row>
    <row r="284" spans="4:10" ht="12.75">
      <c r="D284" s="168" t="s">
        <v>362</v>
      </c>
      <c r="I284" s="170">
        <f>I10++I34+I35+I36</f>
        <v>505305</v>
      </c>
      <c r="J284" s="170">
        <f>J10++J34+J35+J36</f>
        <v>557000</v>
      </c>
    </row>
    <row r="285" spans="4:10" ht="12.75">
      <c r="D285" s="168" t="s">
        <v>363</v>
      </c>
      <c r="I285" s="171">
        <f>I276+I275</f>
        <v>4285779.32</v>
      </c>
      <c r="J285" s="171">
        <f>J276+J275</f>
        <v>9046015.64</v>
      </c>
    </row>
    <row r="286" spans="9:10" ht="12.75">
      <c r="I286" s="171">
        <f>SUM(I284:I285)</f>
        <v>4791084.32</v>
      </c>
      <c r="J286" s="171">
        <f>SUM(J284:J285)</f>
        <v>9603015.64</v>
      </c>
    </row>
    <row r="287" spans="4:10" ht="12.75">
      <c r="D287" s="168" t="s">
        <v>366</v>
      </c>
      <c r="I287" s="171" t="e">
        <f>I269+I280+I282+I285</f>
        <v>#REF!</v>
      </c>
      <c r="J287" s="171" t="e">
        <f>J269+J280+J282+J285</f>
        <v>#REF!</v>
      </c>
    </row>
    <row r="289" spans="4:10" ht="12.75">
      <c r="D289" s="168" t="s">
        <v>365</v>
      </c>
      <c r="I289" s="181">
        <f>I238</f>
        <v>37785195.95</v>
      </c>
      <c r="J289" s="181">
        <f>J238</f>
        <v>42925317.370000005</v>
      </c>
    </row>
    <row r="290" spans="4:11" ht="12.75">
      <c r="D290" s="168" t="s">
        <v>367</v>
      </c>
      <c r="I290" s="171" t="e">
        <f>I289-I287</f>
        <v>#REF!</v>
      </c>
      <c r="J290" s="171" t="e">
        <f>J289-J287</f>
        <v>#REF!</v>
      </c>
      <c r="K290" s="168" t="s">
        <v>373</v>
      </c>
    </row>
    <row r="292" spans="4:10" ht="12.75">
      <c r="D292" s="168" t="s">
        <v>369</v>
      </c>
      <c r="I292" s="171" t="e">
        <f>I261+I262+I263+I265+I266+I267+I268+I270+I271+I275+I276+I277</f>
        <v>#REF!</v>
      </c>
      <c r="J292" s="171" t="e">
        <f>J261+J262+J263+J265+J266+J267+J268+J270+J271+J275+J276+J277</f>
        <v>#REF!</v>
      </c>
    </row>
    <row r="293" spans="4:10" ht="12.75">
      <c r="D293" s="168" t="s">
        <v>368</v>
      </c>
      <c r="I293" s="182">
        <f>I282</f>
        <v>11872907</v>
      </c>
      <c r="J293" s="182">
        <f>J282</f>
        <v>12791120</v>
      </c>
    </row>
    <row r="294" spans="4:10" ht="12.75">
      <c r="D294" s="50" t="s">
        <v>374</v>
      </c>
      <c r="E294" s="50"/>
      <c r="F294" s="50"/>
      <c r="G294" s="50"/>
      <c r="H294" s="50"/>
      <c r="I294" s="179" t="e">
        <f>SUM(I292:I293)</f>
        <v>#REF!</v>
      </c>
      <c r="J294" s="179" t="e">
        <f>SUM(J292:J293)</f>
        <v>#REF!</v>
      </c>
    </row>
    <row r="295" spans="4:10" ht="12.75">
      <c r="D295" s="168" t="s">
        <v>375</v>
      </c>
      <c r="I295" s="171">
        <v>32144522.78</v>
      </c>
      <c r="J295" s="171">
        <v>40991282.93</v>
      </c>
    </row>
    <row r="296" spans="4:10" ht="12.75">
      <c r="D296" s="168" t="s">
        <v>370</v>
      </c>
      <c r="I296" s="171" t="e">
        <f>I295-I294</f>
        <v>#REF!</v>
      </c>
      <c r="J296" s="171" t="e">
        <f>J295-J294</f>
        <v>#REF!</v>
      </c>
    </row>
    <row r="298" spans="4:11" ht="12.75">
      <c r="D298" s="168" t="s">
        <v>371</v>
      </c>
      <c r="I298" s="171">
        <f>I15+I16+I20+I21+I22+I28+I29+I31+I32+I33+I34+I36+I37+I38++I48+I49+I50+I51+I52+I53+I57+I58+I60+I69+I77+I79+I80+I81+I82+I83+I84+I85+I87+I88+I89+I90+I91+I92+I93+I94++I95+I96+I97+I98+I100+I101+I102+I103+I113+I114+I121+I122+I123+I138+I139++I143+I144+I145++I155+I160+I161+I173+I172+I174+I175+I178+I179+I180+I193+I194+I202+I203+I206+I207+I208+I209++I215+I218+I220+I229+I230+I231+I232+I233</f>
        <v>6661690.490000001</v>
      </c>
      <c r="J298" s="171">
        <f>J15+J16+J20+J21+J22+J28+J29+J31+J32+J33+J34+J36+J37+J38++J48+J49+J50+J51+J52+J53+J57+J58+J60+J69+J77+J79+J80+J81+J82+J83+J84+J85+J87+J88+J89+J90+J91+J92+J93+J94++J95+J96+J97+J98+J100+J101+J102+J103+J113+J114+J121+J122+J123+J138+J139++J143+J144+J145++J155+J160+J161+J173+J172+J174+J175+J178+J179+J180+J193+J194+J202+J203+J206+J207+J208+J209++J215+J218+J220+J229+J230+J231+J232+J233</f>
        <v>7349065.990000001</v>
      </c>
      <c r="K298" s="168" t="s">
        <v>372</v>
      </c>
    </row>
    <row r="300" spans="9:11" ht="12.75">
      <c r="I300" s="171">
        <f>I10+I11+I15+I16+I20+I21+I22+I28+I29+I31+I32+I33+I34+I35+I36+I37+I38+I48+I49+I50+I51+I52+I161+I58+I59+I113+I114+I121++I123+I122+I132+I138+I139+I143+I144+I145+I150+I155+I160+I170+I173+I75+I174+I175+I178+I179+I180+I193+I194+I195++I202+I203+I206+I207+I208+I209+I215+I218+I220+I229+I230+I231+I232+I233+I235</f>
        <v>14628618.41</v>
      </c>
      <c r="J300" s="171">
        <f>J10+J11+J15+J16+J20+J21+J22+J28+J29+J31+J32+J33+J34+J35+J36+J37+J38+J48+J49+J50+J51+J52+J161+J58+J59+J113+J114+J121++J123+J122+J132+J138+J139+J143+J144+J145+J150+J155+J160+J170+J173+J75+J174+J175+J178+J179+J180+J193+J194+J195++J202+J203+J206+J207+J208+J209+J215+J218+J220+J229+J230+J231+J232+J233+J235</f>
        <v>15674206.989999996</v>
      </c>
      <c r="K300" s="168" t="s">
        <v>373</v>
      </c>
    </row>
    <row r="302" spans="4:10" ht="12.75">
      <c r="D302" s="168" t="s">
        <v>379</v>
      </c>
      <c r="I302" s="171">
        <v>160283.35</v>
      </c>
      <c r="J302" s="171">
        <v>8535070.2</v>
      </c>
    </row>
    <row r="303" spans="4:10" ht="12.75">
      <c r="D303" s="168" t="s">
        <v>380</v>
      </c>
      <c r="I303" s="171">
        <v>-79978.35</v>
      </c>
      <c r="J303" s="171">
        <v>-8933070.2</v>
      </c>
    </row>
    <row r="304" spans="9:10" ht="12.75">
      <c r="I304" s="171">
        <f>I302+I303</f>
        <v>80305</v>
      </c>
      <c r="J304" s="171">
        <f>J302+J303</f>
        <v>-398000</v>
      </c>
    </row>
    <row r="305" spans="4:11" ht="12.75">
      <c r="D305" s="183" t="s">
        <v>391</v>
      </c>
      <c r="E305" s="183"/>
      <c r="F305" s="183"/>
      <c r="G305" s="183"/>
      <c r="H305" s="183"/>
      <c r="I305" s="182"/>
      <c r="J305" s="182">
        <v>204000</v>
      </c>
      <c r="K305" s="168"/>
    </row>
    <row r="306" spans="4:10" ht="12.75">
      <c r="D306" s="168" t="s">
        <v>381</v>
      </c>
      <c r="I306" s="171">
        <v>31984239.43</v>
      </c>
      <c r="J306" s="171">
        <v>31456212.73</v>
      </c>
    </row>
    <row r="307" spans="4:10" ht="12.75">
      <c r="D307" s="168" t="s">
        <v>382</v>
      </c>
      <c r="I307" s="171">
        <v>11306336.9</v>
      </c>
      <c r="J307" s="171">
        <v>9288545.74</v>
      </c>
    </row>
    <row r="308" spans="4:10" ht="12.75">
      <c r="D308" s="168" t="s">
        <v>385</v>
      </c>
      <c r="I308" s="171">
        <v>11245937</v>
      </c>
      <c r="J308" s="171">
        <v>11578397</v>
      </c>
    </row>
    <row r="309" spans="4:10" ht="12.75">
      <c r="D309" s="184" t="s">
        <v>384</v>
      </c>
      <c r="E309" s="184"/>
      <c r="F309" s="184"/>
      <c r="G309" s="184"/>
      <c r="H309" s="184"/>
      <c r="I309" s="185">
        <f>I306-I307-I308</f>
        <v>9431965.530000001</v>
      </c>
      <c r="J309" s="185">
        <f>J306-J307-J308</f>
        <v>10589269.990000002</v>
      </c>
    </row>
    <row r="310" spans="9:10" ht="12.75">
      <c r="I310" s="171"/>
      <c r="J310" s="171"/>
    </row>
    <row r="311" spans="4:10" ht="12.75">
      <c r="D311" s="168" t="s">
        <v>386</v>
      </c>
      <c r="I311" s="171"/>
      <c r="J311" s="171"/>
    </row>
    <row r="314" spans="4:10" ht="12.75">
      <c r="D314" s="168" t="s">
        <v>387</v>
      </c>
      <c r="I314" s="171">
        <f>I238</f>
        <v>37785195.95</v>
      </c>
      <c r="J314" s="171">
        <f>J238</f>
        <v>42925317.370000005</v>
      </c>
    </row>
    <row r="315" spans="4:10" ht="12.75">
      <c r="D315" s="168" t="s">
        <v>389</v>
      </c>
      <c r="I315" s="171" t="e">
        <f>I261+I262+I263+I265+I266+I267+I268+I270+I271+I285+I308</f>
        <v>#REF!</v>
      </c>
      <c r="J315" s="171" t="e">
        <f>J261+J262+J263+J265+J266+J267+J268+J270+J271+J285+J308</f>
        <v>#REF!</v>
      </c>
    </row>
    <row r="316" spans="4:10" ht="12.75">
      <c r="D316" s="168" t="s">
        <v>388</v>
      </c>
      <c r="I316" s="171" t="e">
        <f>I314-I315</f>
        <v>#REF!</v>
      </c>
      <c r="J316" s="171" t="e">
        <f>J314-J315</f>
        <v>#REF!</v>
      </c>
    </row>
  </sheetData>
  <sheetProtection/>
  <mergeCells count="75">
    <mergeCell ref="A1:M1"/>
    <mergeCell ref="C2:C6"/>
    <mergeCell ref="D2:D6"/>
    <mergeCell ref="E2:E3"/>
    <mergeCell ref="F2:M3"/>
    <mergeCell ref="E4:E6"/>
    <mergeCell ref="F4:F6"/>
    <mergeCell ref="G4:G6"/>
    <mergeCell ref="H4:H6"/>
    <mergeCell ref="I4:I6"/>
    <mergeCell ref="K4:K6"/>
    <mergeCell ref="L4:L6"/>
    <mergeCell ref="M4:M6"/>
    <mergeCell ref="A8:A17"/>
    <mergeCell ref="B9:B12"/>
    <mergeCell ref="B14:B17"/>
    <mergeCell ref="A2:A6"/>
    <mergeCell ref="B2:B6"/>
    <mergeCell ref="A18:A25"/>
    <mergeCell ref="B19:B25"/>
    <mergeCell ref="A26:A40"/>
    <mergeCell ref="B27:B29"/>
    <mergeCell ref="B30:B40"/>
    <mergeCell ref="J4:J6"/>
    <mergeCell ref="A41:A43"/>
    <mergeCell ref="A44:A60"/>
    <mergeCell ref="B45:B46"/>
    <mergeCell ref="B47:B53"/>
    <mergeCell ref="B54:B55"/>
    <mergeCell ref="B56:B58"/>
    <mergeCell ref="B59:B60"/>
    <mergeCell ref="A61:A63"/>
    <mergeCell ref="B62:B63"/>
    <mergeCell ref="A66:A74"/>
    <mergeCell ref="B67:B71"/>
    <mergeCell ref="B72:B74"/>
    <mergeCell ref="A75:A106"/>
    <mergeCell ref="B76:B77"/>
    <mergeCell ref="B78:B85"/>
    <mergeCell ref="B86:B98"/>
    <mergeCell ref="B99:B103"/>
    <mergeCell ref="B165:B166"/>
    <mergeCell ref="B104:B106"/>
    <mergeCell ref="A107:A118"/>
    <mergeCell ref="A119:A152"/>
    <mergeCell ref="B120:B127"/>
    <mergeCell ref="B129:B130"/>
    <mergeCell ref="B131:B133"/>
    <mergeCell ref="B137:B141"/>
    <mergeCell ref="B142:B148"/>
    <mergeCell ref="B149:B150"/>
    <mergeCell ref="B169:B170"/>
    <mergeCell ref="B173:B176"/>
    <mergeCell ref="B177:B179"/>
    <mergeCell ref="A185:A188"/>
    <mergeCell ref="B186:B188"/>
    <mergeCell ref="B151:B152"/>
    <mergeCell ref="A153:A157"/>
    <mergeCell ref="A158:A183"/>
    <mergeCell ref="B159:B161"/>
    <mergeCell ref="B162:B164"/>
    <mergeCell ref="A189:A199"/>
    <mergeCell ref="B192:B195"/>
    <mergeCell ref="A200:A221"/>
    <mergeCell ref="B201:B204"/>
    <mergeCell ref="B205:B210"/>
    <mergeCell ref="B211:B212"/>
    <mergeCell ref="B214:B215"/>
    <mergeCell ref="B219:B221"/>
    <mergeCell ref="A222:A226"/>
    <mergeCell ref="B223:B224"/>
    <mergeCell ref="A227:A235"/>
    <mergeCell ref="B228:B233"/>
    <mergeCell ref="B234:B235"/>
    <mergeCell ref="A236:D236"/>
  </mergeCells>
  <printOptions/>
  <pageMargins left="0.7" right="0.7" top="0.75" bottom="0.75" header="0.3" footer="0.3"/>
  <pageSetup horizontalDpi="600" verticalDpi="600" orientation="portrait" paperSize="9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74"/>
  <sheetViews>
    <sheetView tabSelected="1" view="pageLayout" workbookViewId="0" topLeftCell="A5">
      <selection activeCell="L269" sqref="L269"/>
    </sheetView>
  </sheetViews>
  <sheetFormatPr defaultColWidth="11.7109375" defaultRowHeight="12.75"/>
  <cols>
    <col min="1" max="1" width="4.00390625" style="1" customWidth="1"/>
    <col min="2" max="2" width="4.28125" style="1" customWidth="1"/>
    <col min="3" max="3" width="4.8515625" style="1" customWidth="1"/>
    <col min="4" max="4" width="26.8515625" style="2" customWidth="1"/>
    <col min="5" max="5" width="8.8515625" style="3" hidden="1" customWidth="1"/>
    <col min="6" max="6" width="10.7109375" style="3" hidden="1" customWidth="1"/>
    <col min="7" max="7" width="10.140625" style="3" hidden="1" customWidth="1"/>
    <col min="8" max="8" width="10.7109375" style="3" hidden="1" customWidth="1"/>
    <col min="9" max="9" width="4.8515625" style="3" hidden="1" customWidth="1"/>
    <col min="10" max="10" width="12.00390625" style="3" customWidth="1"/>
    <col min="11" max="11" width="12.57421875" style="3" customWidth="1"/>
    <col min="12" max="12" width="7.28125" style="3" customWidth="1"/>
    <col min="13" max="13" width="8.00390625" style="3" customWidth="1"/>
    <col min="14" max="14" width="7.8515625" style="3" customWidth="1"/>
    <col min="15" max="16384" width="11.7109375" style="2" customWidth="1"/>
  </cols>
  <sheetData>
    <row r="1" spans="1:14" ht="36.75" customHeight="1" hidden="1">
      <c r="A1" s="265" t="s">
        <v>85</v>
      </c>
      <c r="B1" s="265" t="s">
        <v>84</v>
      </c>
      <c r="C1" s="256" t="s">
        <v>0</v>
      </c>
      <c r="D1" s="237" t="s">
        <v>1</v>
      </c>
      <c r="E1" s="253"/>
      <c r="F1" s="258"/>
      <c r="G1" s="259"/>
      <c r="H1" s="259"/>
      <c r="I1" s="259"/>
      <c r="J1" s="259"/>
      <c r="K1" s="259"/>
      <c r="L1" s="259"/>
      <c r="M1" s="259"/>
      <c r="N1" s="260"/>
    </row>
    <row r="2" spans="1:14" ht="24" customHeight="1" hidden="1">
      <c r="A2" s="256"/>
      <c r="B2" s="256"/>
      <c r="C2" s="257"/>
      <c r="D2" s="255"/>
      <c r="E2" s="253"/>
      <c r="F2" s="261"/>
      <c r="G2" s="262"/>
      <c r="H2" s="262"/>
      <c r="I2" s="262"/>
      <c r="J2" s="262"/>
      <c r="K2" s="262"/>
      <c r="L2" s="262"/>
      <c r="M2" s="262"/>
      <c r="N2" s="263"/>
    </row>
    <row r="3" spans="1:14" ht="19.5">
      <c r="A3" s="256"/>
      <c r="B3" s="256"/>
      <c r="C3" s="257"/>
      <c r="D3" s="255"/>
      <c r="E3" s="253" t="s">
        <v>392</v>
      </c>
      <c r="F3" s="253" t="s">
        <v>393</v>
      </c>
      <c r="G3" s="253" t="s">
        <v>394</v>
      </c>
      <c r="H3" s="253" t="s">
        <v>395</v>
      </c>
      <c r="I3" s="193" t="s">
        <v>420</v>
      </c>
      <c r="J3" s="264" t="s">
        <v>396</v>
      </c>
      <c r="K3" s="264" t="s">
        <v>397</v>
      </c>
      <c r="L3" s="264" t="s">
        <v>398</v>
      </c>
      <c r="M3" s="348" t="s">
        <v>459</v>
      </c>
      <c r="N3" s="348" t="s">
        <v>460</v>
      </c>
    </row>
    <row r="4" spans="1:14" ht="12.75">
      <c r="A4" s="256"/>
      <c r="B4" s="256"/>
      <c r="C4" s="257"/>
      <c r="D4" s="255"/>
      <c r="E4" s="254"/>
      <c r="F4" s="253"/>
      <c r="G4" s="253"/>
      <c r="H4" s="254"/>
      <c r="I4" s="194" t="s">
        <v>418</v>
      </c>
      <c r="J4" s="241"/>
      <c r="K4" s="241"/>
      <c r="L4" s="241"/>
      <c r="M4" s="349"/>
      <c r="N4" s="349"/>
    </row>
    <row r="5" spans="1:14" ht="21" customHeight="1">
      <c r="A5" s="256"/>
      <c r="B5" s="256"/>
      <c r="C5" s="257"/>
      <c r="D5" s="255"/>
      <c r="E5" s="254"/>
      <c r="F5" s="253"/>
      <c r="G5" s="253"/>
      <c r="H5" s="254"/>
      <c r="I5" s="195" t="s">
        <v>419</v>
      </c>
      <c r="J5" s="242"/>
      <c r="K5" s="242"/>
      <c r="L5" s="242"/>
      <c r="M5" s="349"/>
      <c r="N5" s="349"/>
    </row>
    <row r="6" spans="1:14" s="34" customFormat="1" ht="12.75">
      <c r="A6" s="32">
        <v>1</v>
      </c>
      <c r="B6" s="32">
        <v>2</v>
      </c>
      <c r="C6" s="32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33">
        <v>5</v>
      </c>
      <c r="K6" s="33">
        <v>6</v>
      </c>
      <c r="L6" s="33">
        <v>7</v>
      </c>
      <c r="M6" s="33">
        <v>8</v>
      </c>
      <c r="N6" s="33">
        <v>9</v>
      </c>
    </row>
    <row r="7" spans="1:14" ht="18.75" customHeight="1">
      <c r="A7" s="266" t="s">
        <v>87</v>
      </c>
      <c r="B7" s="197"/>
      <c r="C7" s="5"/>
      <c r="D7" s="7" t="s">
        <v>5</v>
      </c>
      <c r="E7" s="8" t="e">
        <f>E8+E12</f>
        <v>#REF!</v>
      </c>
      <c r="F7" s="8" t="e">
        <f>F8+F12</f>
        <v>#REF!</v>
      </c>
      <c r="G7" s="8" t="e">
        <f>G8+G12</f>
        <v>#REF!</v>
      </c>
      <c r="H7" s="8" t="e">
        <f>H8+H12</f>
        <v>#REF!</v>
      </c>
      <c r="I7" s="57" t="e">
        <f>H7/G7*100</f>
        <v>#REF!</v>
      </c>
      <c r="J7" s="8">
        <f>J8+J12</f>
        <v>688765.44</v>
      </c>
      <c r="K7" s="8">
        <f>K8+K12</f>
        <v>1554509.31</v>
      </c>
      <c r="L7" s="8">
        <f>K7/J7*100</f>
        <v>225.69502180597217</v>
      </c>
      <c r="M7" s="57">
        <f aca="true" t="shared" si="0" ref="M7:M38">(J7/$J$242)*100</f>
        <v>1.9016724512488012</v>
      </c>
      <c r="N7" s="57">
        <f aca="true" t="shared" si="1" ref="N7:N38">(K7/$K$242)*100</f>
        <v>3.1088983392103744</v>
      </c>
    </row>
    <row r="8" spans="1:14" ht="23.25" customHeight="1">
      <c r="A8" s="267"/>
      <c r="B8" s="243" t="s">
        <v>88</v>
      </c>
      <c r="C8" s="5"/>
      <c r="D8" s="7" t="s">
        <v>422</v>
      </c>
      <c r="E8" s="8" t="e">
        <f>#REF!+E9+E11+E10+#REF!</f>
        <v>#REF!</v>
      </c>
      <c r="F8" s="8" t="e">
        <f>#REF!+F9+F11+F10+#REF!</f>
        <v>#REF!</v>
      </c>
      <c r="G8" s="8" t="e">
        <f>#REF!+G9+G11+G10+#REF!</f>
        <v>#REF!</v>
      </c>
      <c r="H8" s="8" t="e">
        <f>#REF!+H9+H11+H10+#REF!</f>
        <v>#REF!</v>
      </c>
      <c r="I8" s="57" t="e">
        <f aca="true" t="shared" si="2" ref="I8:I62">H8/G8*100</f>
        <v>#REF!</v>
      </c>
      <c r="J8" s="8">
        <f>J9+J10+J11</f>
        <v>53000</v>
      </c>
      <c r="K8" s="8">
        <f>K9+K10+K11</f>
        <v>1543509.31</v>
      </c>
      <c r="L8" s="8">
        <f aca="true" t="shared" si="3" ref="L8:L65">K8/J8*100</f>
        <v>2912.281716981132</v>
      </c>
      <c r="M8" s="57">
        <f t="shared" si="0"/>
        <v>0.14633231295139673</v>
      </c>
      <c r="N8" s="57">
        <f t="shared" si="1"/>
        <v>3.086899190339845</v>
      </c>
    </row>
    <row r="9" spans="1:14" ht="34.5" customHeight="1">
      <c r="A9" s="267"/>
      <c r="B9" s="244"/>
      <c r="C9" s="6" t="s">
        <v>142</v>
      </c>
      <c r="D9" s="196" t="s">
        <v>143</v>
      </c>
      <c r="E9" s="4">
        <v>30110.24</v>
      </c>
      <c r="F9" s="4">
        <v>50000</v>
      </c>
      <c r="G9" s="4">
        <v>50000</v>
      </c>
      <c r="H9" s="4"/>
      <c r="I9" s="57">
        <f t="shared" si="2"/>
        <v>0</v>
      </c>
      <c r="J9" s="4">
        <v>40000</v>
      </c>
      <c r="K9" s="4">
        <v>5000</v>
      </c>
      <c r="L9" s="8">
        <f t="shared" si="3"/>
        <v>12.5</v>
      </c>
      <c r="M9" s="57">
        <f t="shared" si="0"/>
        <v>0.11043948147275225</v>
      </c>
      <c r="N9" s="57">
        <f t="shared" si="1"/>
        <v>0.009999613122967963</v>
      </c>
    </row>
    <row r="10" spans="1:14" ht="13.5" customHeight="1">
      <c r="A10" s="267"/>
      <c r="B10" s="244"/>
      <c r="C10" s="6" t="s">
        <v>325</v>
      </c>
      <c r="D10" s="196" t="s">
        <v>330</v>
      </c>
      <c r="E10" s="4">
        <v>1307</v>
      </c>
      <c r="F10" s="4">
        <v>1500</v>
      </c>
      <c r="G10" s="4">
        <v>12105</v>
      </c>
      <c r="H10" s="4">
        <v>12105</v>
      </c>
      <c r="I10" s="57">
        <f t="shared" si="2"/>
        <v>100</v>
      </c>
      <c r="J10" s="4">
        <v>13000</v>
      </c>
      <c r="K10" s="4">
        <v>15000</v>
      </c>
      <c r="L10" s="8">
        <f t="shared" si="3"/>
        <v>115.38461538461537</v>
      </c>
      <c r="M10" s="57">
        <f t="shared" si="0"/>
        <v>0.03589283147864448</v>
      </c>
      <c r="N10" s="57">
        <f t="shared" si="1"/>
        <v>0.02999883936890389</v>
      </c>
    </row>
    <row r="11" spans="1:14" ht="42" customHeight="1">
      <c r="A11" s="267"/>
      <c r="B11" s="244"/>
      <c r="C11" s="6" t="s">
        <v>193</v>
      </c>
      <c r="D11" s="196" t="s">
        <v>145</v>
      </c>
      <c r="E11" s="4"/>
      <c r="F11" s="4">
        <v>705375</v>
      </c>
      <c r="G11" s="4"/>
      <c r="H11" s="4"/>
      <c r="I11" s="57" t="e">
        <f t="shared" si="2"/>
        <v>#DIV/0!</v>
      </c>
      <c r="J11" s="4"/>
      <c r="K11" s="4">
        <v>1523509.31</v>
      </c>
      <c r="L11" s="8"/>
      <c r="M11" s="57">
        <f t="shared" si="0"/>
        <v>0</v>
      </c>
      <c r="N11" s="57">
        <f t="shared" si="1"/>
        <v>3.0469007378479733</v>
      </c>
    </row>
    <row r="12" spans="1:14" s="10" customFormat="1" ht="14.25" customHeight="1">
      <c r="A12" s="267"/>
      <c r="B12" s="243" t="s">
        <v>116</v>
      </c>
      <c r="C12" s="5"/>
      <c r="D12" s="7" t="s">
        <v>8</v>
      </c>
      <c r="E12" s="8">
        <f aca="true" t="shared" si="4" ref="E12:K12">E15+E14+E13</f>
        <v>699492.35</v>
      </c>
      <c r="F12" s="8">
        <f t="shared" si="4"/>
        <v>8000</v>
      </c>
      <c r="G12" s="8">
        <f t="shared" si="4"/>
        <v>394140.73</v>
      </c>
      <c r="H12" s="8">
        <f t="shared" si="4"/>
        <v>392100.94</v>
      </c>
      <c r="I12" s="57">
        <f t="shared" si="2"/>
        <v>99.48247165422362</v>
      </c>
      <c r="J12" s="8">
        <f t="shared" si="4"/>
        <v>635765.44</v>
      </c>
      <c r="K12" s="8">
        <f t="shared" si="4"/>
        <v>11000</v>
      </c>
      <c r="L12" s="8">
        <f t="shared" si="3"/>
        <v>1.7301978541016636</v>
      </c>
      <c r="M12" s="57">
        <f t="shared" si="0"/>
        <v>1.7553401382974045</v>
      </c>
      <c r="N12" s="57">
        <f t="shared" si="1"/>
        <v>0.021999148870529516</v>
      </c>
    </row>
    <row r="13" spans="1:14" s="10" customFormat="1" ht="78.75" customHeight="1">
      <c r="A13" s="267"/>
      <c r="B13" s="247"/>
      <c r="C13" s="6" t="s">
        <v>91</v>
      </c>
      <c r="D13" s="9" t="s">
        <v>466</v>
      </c>
      <c r="E13" s="4">
        <v>5968.01</v>
      </c>
      <c r="F13" s="4">
        <v>7000</v>
      </c>
      <c r="G13" s="4">
        <v>7000</v>
      </c>
      <c r="H13" s="4">
        <v>5960.21</v>
      </c>
      <c r="I13" s="57">
        <f t="shared" si="2"/>
        <v>85.14585714285714</v>
      </c>
      <c r="J13" s="4">
        <v>8000</v>
      </c>
      <c r="K13" s="4">
        <v>10000</v>
      </c>
      <c r="L13" s="8">
        <f t="shared" si="3"/>
        <v>125</v>
      </c>
      <c r="M13" s="57">
        <f t="shared" si="0"/>
        <v>0.022087896294550453</v>
      </c>
      <c r="N13" s="57">
        <f t="shared" si="1"/>
        <v>0.019999226245935926</v>
      </c>
    </row>
    <row r="14" spans="1:14" s="29" customFormat="1" ht="13.5" customHeight="1">
      <c r="A14" s="267"/>
      <c r="B14" s="247"/>
      <c r="C14" s="6" t="s">
        <v>90</v>
      </c>
      <c r="D14" s="9" t="s">
        <v>303</v>
      </c>
      <c r="E14" s="4"/>
      <c r="F14" s="4">
        <v>1000</v>
      </c>
      <c r="G14" s="4">
        <v>1000</v>
      </c>
      <c r="H14" s="4"/>
      <c r="I14" s="57">
        <f t="shared" si="2"/>
        <v>0</v>
      </c>
      <c r="J14" s="4">
        <v>500</v>
      </c>
      <c r="K14" s="4">
        <v>1000</v>
      </c>
      <c r="L14" s="8">
        <f t="shared" si="3"/>
        <v>200</v>
      </c>
      <c r="M14" s="57">
        <f t="shared" si="0"/>
        <v>0.0013804935184094033</v>
      </c>
      <c r="N14" s="57">
        <f t="shared" si="1"/>
        <v>0.0019999226245935925</v>
      </c>
    </row>
    <row r="15" spans="1:14" ht="44.25" customHeight="1">
      <c r="A15" s="267"/>
      <c r="B15" s="245"/>
      <c r="C15" s="6" t="s">
        <v>117</v>
      </c>
      <c r="D15" s="9" t="str">
        <f>D48</f>
        <v>Dotacje celowe otrzymane z budżetu państwa na real. zadań bież. z zakresu adm. rządowej oraz innych zadań zleconych</v>
      </c>
      <c r="E15" s="4">
        <v>693524.34</v>
      </c>
      <c r="F15" s="4"/>
      <c r="G15" s="4">
        <v>386140.73</v>
      </c>
      <c r="H15" s="4">
        <v>386140.73</v>
      </c>
      <c r="I15" s="57">
        <f t="shared" si="2"/>
        <v>100</v>
      </c>
      <c r="J15" s="4">
        <v>627265.44</v>
      </c>
      <c r="K15" s="4">
        <v>0</v>
      </c>
      <c r="L15" s="8">
        <f t="shared" si="3"/>
        <v>0</v>
      </c>
      <c r="M15" s="57">
        <f t="shared" si="0"/>
        <v>1.7318717484844446</v>
      </c>
      <c r="N15" s="57">
        <f t="shared" si="1"/>
        <v>0</v>
      </c>
    </row>
    <row r="16" spans="1:14" ht="17.25" customHeight="1">
      <c r="A16" s="132" t="s">
        <v>412</v>
      </c>
      <c r="B16" s="191"/>
      <c r="C16" s="5"/>
      <c r="D16" s="7" t="s">
        <v>424</v>
      </c>
      <c r="E16" s="7" t="s">
        <v>424</v>
      </c>
      <c r="F16" s="7" t="s">
        <v>424</v>
      </c>
      <c r="G16" s="7" t="s">
        <v>424</v>
      </c>
      <c r="H16" s="7" t="s">
        <v>424</v>
      </c>
      <c r="I16" s="7" t="s">
        <v>424</v>
      </c>
      <c r="J16" s="8">
        <f>J18</f>
        <v>600</v>
      </c>
      <c r="K16" s="8">
        <f>K18</f>
        <v>600</v>
      </c>
      <c r="L16" s="8">
        <f t="shared" si="3"/>
        <v>100</v>
      </c>
      <c r="M16" s="57">
        <f t="shared" si="0"/>
        <v>0.0016565922220912836</v>
      </c>
      <c r="N16" s="57">
        <f t="shared" si="1"/>
        <v>0.0011999535747561556</v>
      </c>
    </row>
    <row r="17" spans="1:14" ht="12" customHeight="1">
      <c r="A17" s="132"/>
      <c r="B17" s="219">
        <v>2095</v>
      </c>
      <c r="C17" s="5"/>
      <c r="D17" s="7" t="s">
        <v>8</v>
      </c>
      <c r="E17" s="7" t="s">
        <v>8</v>
      </c>
      <c r="F17" s="7" t="s">
        <v>8</v>
      </c>
      <c r="G17" s="7" t="s">
        <v>8</v>
      </c>
      <c r="H17" s="7" t="s">
        <v>8</v>
      </c>
      <c r="I17" s="7" t="s">
        <v>8</v>
      </c>
      <c r="J17" s="8">
        <f>J18</f>
        <v>600</v>
      </c>
      <c r="K17" s="8">
        <f>K18</f>
        <v>600</v>
      </c>
      <c r="L17" s="8">
        <f t="shared" si="3"/>
        <v>100</v>
      </c>
      <c r="M17" s="57">
        <f t="shared" si="0"/>
        <v>0.0016565922220912836</v>
      </c>
      <c r="N17" s="57">
        <f t="shared" si="1"/>
        <v>0.0011999535747561556</v>
      </c>
    </row>
    <row r="18" spans="1:14" ht="36" customHeight="1">
      <c r="A18" s="190"/>
      <c r="B18" s="189"/>
      <c r="C18" s="6" t="s">
        <v>91</v>
      </c>
      <c r="D18" s="9" t="s">
        <v>458</v>
      </c>
      <c r="E18" s="4"/>
      <c r="F18" s="4"/>
      <c r="G18" s="4">
        <v>500</v>
      </c>
      <c r="H18" s="4">
        <v>547.77</v>
      </c>
      <c r="I18" s="57">
        <f t="shared" si="2"/>
        <v>109.554</v>
      </c>
      <c r="J18" s="4">
        <v>600</v>
      </c>
      <c r="K18" s="4">
        <v>600</v>
      </c>
      <c r="L18" s="8">
        <f t="shared" si="3"/>
        <v>100</v>
      </c>
      <c r="M18" s="57">
        <f t="shared" si="0"/>
        <v>0.0016565922220912836</v>
      </c>
      <c r="N18" s="57">
        <f t="shared" si="1"/>
        <v>0.0011999535747561556</v>
      </c>
    </row>
    <row r="19" spans="1:14" ht="15.75" customHeight="1">
      <c r="A19" s="238">
        <v>600</v>
      </c>
      <c r="B19" s="5"/>
      <c r="C19" s="6"/>
      <c r="D19" s="7" t="s">
        <v>9</v>
      </c>
      <c r="E19" s="8" t="e">
        <f>#REF!+E20</f>
        <v>#REF!</v>
      </c>
      <c r="F19" s="8" t="e">
        <f>#REF!+F20</f>
        <v>#REF!</v>
      </c>
      <c r="G19" s="8" t="e">
        <f>#REF!+G20</f>
        <v>#REF!</v>
      </c>
      <c r="H19" s="8" t="e">
        <f>#REF!+H20</f>
        <v>#REF!</v>
      </c>
      <c r="I19" s="57" t="e">
        <f t="shared" si="2"/>
        <v>#REF!</v>
      </c>
      <c r="J19" s="8">
        <f>J20</f>
        <v>3601833</v>
      </c>
      <c r="K19" s="8">
        <f>K20</f>
        <v>11540744.5</v>
      </c>
      <c r="L19" s="8">
        <f t="shared" si="3"/>
        <v>320.4130924448746</v>
      </c>
      <c r="M19" s="57">
        <f t="shared" si="0"/>
        <v>9.94461422178619</v>
      </c>
      <c r="N19" s="57">
        <f t="shared" si="1"/>
        <v>23.080596030204067</v>
      </c>
    </row>
    <row r="20" spans="1:14" s="10" customFormat="1" ht="12" customHeight="1">
      <c r="A20" s="239"/>
      <c r="B20" s="243">
        <v>60016</v>
      </c>
      <c r="C20" s="5"/>
      <c r="D20" s="204" t="s">
        <v>11</v>
      </c>
      <c r="E20" s="8" t="e">
        <f>E25+E21+#REF!+E26+E22+E23</f>
        <v>#REF!</v>
      </c>
      <c r="F20" s="8" t="e">
        <f>F25+F21+#REF!+F26+F22+F23+F24</f>
        <v>#REF!</v>
      </c>
      <c r="G20" s="8" t="e">
        <f>G25+G21+#REF!+G26+G22+G23+G24</f>
        <v>#REF!</v>
      </c>
      <c r="H20" s="8" t="e">
        <f>H25+H21+#REF!+H26+H22+H23</f>
        <v>#REF!</v>
      </c>
      <c r="I20" s="57" t="e">
        <f t="shared" si="2"/>
        <v>#REF!</v>
      </c>
      <c r="J20" s="8">
        <f>J21+J22+J23+J24+J25+J26</f>
        <v>3601833</v>
      </c>
      <c r="K20" s="8">
        <f>K21+K22+K23+K24+K25+K26</f>
        <v>11540744.5</v>
      </c>
      <c r="L20" s="8">
        <f t="shared" si="3"/>
        <v>320.4130924448746</v>
      </c>
      <c r="M20" s="57">
        <f t="shared" si="0"/>
        <v>9.94461422178619</v>
      </c>
      <c r="N20" s="57">
        <f t="shared" si="1"/>
        <v>23.080596030204067</v>
      </c>
    </row>
    <row r="21" spans="1:14" s="10" customFormat="1" ht="25.5" customHeight="1">
      <c r="A21" s="239"/>
      <c r="B21" s="247"/>
      <c r="C21" s="61" t="s">
        <v>92</v>
      </c>
      <c r="D21" s="196" t="s">
        <v>14</v>
      </c>
      <c r="E21" s="4">
        <v>31537.1</v>
      </c>
      <c r="F21" s="4">
        <v>35000</v>
      </c>
      <c r="G21" s="4">
        <v>35000</v>
      </c>
      <c r="H21" s="4">
        <v>30591.5</v>
      </c>
      <c r="I21" s="57">
        <f t="shared" si="2"/>
        <v>87.4042857142857</v>
      </c>
      <c r="J21" s="4">
        <v>41000</v>
      </c>
      <c r="K21" s="4">
        <v>42000</v>
      </c>
      <c r="L21" s="8">
        <f t="shared" si="3"/>
        <v>102.4390243902439</v>
      </c>
      <c r="M21" s="57">
        <f t="shared" si="0"/>
        <v>0.11320046850957106</v>
      </c>
      <c r="N21" s="57">
        <f t="shared" si="1"/>
        <v>0.08399675023293088</v>
      </c>
    </row>
    <row r="22" spans="1:14" s="10" customFormat="1" ht="15" customHeight="1">
      <c r="A22" s="239"/>
      <c r="B22" s="247"/>
      <c r="C22" s="61" t="s">
        <v>325</v>
      </c>
      <c r="D22" s="196" t="s">
        <v>330</v>
      </c>
      <c r="E22" s="4">
        <v>552.6</v>
      </c>
      <c r="F22" s="4">
        <v>1000</v>
      </c>
      <c r="G22" s="4">
        <v>1000</v>
      </c>
      <c r="H22" s="4"/>
      <c r="I22" s="57">
        <f t="shared" si="2"/>
        <v>0</v>
      </c>
      <c r="J22" s="4">
        <v>100</v>
      </c>
      <c r="K22" s="4">
        <v>0</v>
      </c>
      <c r="L22" s="8">
        <f t="shared" si="3"/>
        <v>0</v>
      </c>
      <c r="M22" s="57">
        <f t="shared" si="0"/>
        <v>0.0002760987036818806</v>
      </c>
      <c r="N22" s="57">
        <f t="shared" si="1"/>
        <v>0</v>
      </c>
    </row>
    <row r="23" spans="1:14" s="10" customFormat="1" ht="21" customHeight="1">
      <c r="A23" s="239"/>
      <c r="B23" s="247"/>
      <c r="C23" s="61" t="s">
        <v>94</v>
      </c>
      <c r="D23" s="196" t="s">
        <v>331</v>
      </c>
      <c r="E23" s="4">
        <v>15000</v>
      </c>
      <c r="F23" s="4">
        <v>18000</v>
      </c>
      <c r="G23" s="4">
        <v>18000</v>
      </c>
      <c r="H23" s="4"/>
      <c r="I23" s="57">
        <f t="shared" si="2"/>
        <v>0</v>
      </c>
      <c r="J23" s="4">
        <v>1000</v>
      </c>
      <c r="K23" s="4"/>
      <c r="L23" s="8">
        <f t="shared" si="3"/>
        <v>0</v>
      </c>
      <c r="M23" s="57">
        <f t="shared" si="0"/>
        <v>0.0027609870368188066</v>
      </c>
      <c r="N23" s="57">
        <f t="shared" si="1"/>
        <v>0</v>
      </c>
    </row>
    <row r="24" spans="1:14" s="10" customFormat="1" ht="52.5" customHeight="1">
      <c r="A24" s="239"/>
      <c r="B24" s="247"/>
      <c r="C24" s="61" t="s">
        <v>405</v>
      </c>
      <c r="D24" s="196" t="s">
        <v>406</v>
      </c>
      <c r="E24" s="4"/>
      <c r="F24" s="4">
        <v>30000</v>
      </c>
      <c r="G24" s="4">
        <v>110000</v>
      </c>
      <c r="H24" s="4"/>
      <c r="I24" s="57">
        <f t="shared" si="2"/>
        <v>0</v>
      </c>
      <c r="J24" s="4">
        <v>110000</v>
      </c>
      <c r="K24" s="4"/>
      <c r="L24" s="8"/>
      <c r="M24" s="57">
        <f t="shared" si="0"/>
        <v>0.3037085740500687</v>
      </c>
      <c r="N24" s="57">
        <f t="shared" si="1"/>
        <v>0</v>
      </c>
    </row>
    <row r="25" spans="1:14" s="127" customFormat="1" ht="57.75" customHeight="1">
      <c r="A25" s="241"/>
      <c r="B25" s="244"/>
      <c r="C25" s="61" t="s">
        <v>193</v>
      </c>
      <c r="D25" s="9" t="s">
        <v>145</v>
      </c>
      <c r="E25" s="4">
        <v>220563</v>
      </c>
      <c r="F25" s="4">
        <v>3724431</v>
      </c>
      <c r="G25" s="4">
        <v>1273869</v>
      </c>
      <c r="H25" s="4">
        <v>1271869</v>
      </c>
      <c r="I25" s="57">
        <f t="shared" si="2"/>
        <v>99.84299798487913</v>
      </c>
      <c r="J25" s="4">
        <v>1271869</v>
      </c>
      <c r="K25" s="4">
        <v>2554744.5</v>
      </c>
      <c r="L25" s="8">
        <f t="shared" si="3"/>
        <v>200.86538000375828</v>
      </c>
      <c r="M25" s="57">
        <f t="shared" si="0"/>
        <v>3.5116138215316983</v>
      </c>
      <c r="N25" s="57">
        <f t="shared" si="1"/>
        <v>5.109291325606045</v>
      </c>
    </row>
    <row r="26" spans="1:14" s="127" customFormat="1" ht="57" customHeight="1">
      <c r="A26" s="242"/>
      <c r="B26" s="245"/>
      <c r="C26" s="61" t="s">
        <v>291</v>
      </c>
      <c r="D26" s="9" t="s">
        <v>304</v>
      </c>
      <c r="E26" s="4"/>
      <c r="F26" s="4">
        <v>1814002.95</v>
      </c>
      <c r="G26" s="4">
        <v>2177864</v>
      </c>
      <c r="H26" s="4">
        <v>374354.14</v>
      </c>
      <c r="I26" s="57">
        <f t="shared" si="2"/>
        <v>17.189050372291383</v>
      </c>
      <c r="J26" s="207">
        <v>2177864</v>
      </c>
      <c r="K26" s="4">
        <v>8944000</v>
      </c>
      <c r="L26" s="8">
        <f t="shared" si="3"/>
        <v>410.67761806981514</v>
      </c>
      <c r="M26" s="57">
        <f t="shared" si="0"/>
        <v>6.013054271954353</v>
      </c>
      <c r="N26" s="57">
        <f t="shared" si="1"/>
        <v>17.88730795436509</v>
      </c>
    </row>
    <row r="27" spans="1:14" ht="20.25" customHeight="1">
      <c r="A27" s="238">
        <v>700</v>
      </c>
      <c r="B27" s="5"/>
      <c r="C27" s="6"/>
      <c r="D27" s="7" t="s">
        <v>12</v>
      </c>
      <c r="E27" s="8" t="e">
        <f>E30+E28</f>
        <v>#REF!</v>
      </c>
      <c r="F27" s="8" t="e">
        <f>F30+F28</f>
        <v>#REF!</v>
      </c>
      <c r="G27" s="8" t="e">
        <f>G30+G28</f>
        <v>#REF!</v>
      </c>
      <c r="H27" s="8" t="e">
        <f>H30+H28</f>
        <v>#REF!</v>
      </c>
      <c r="I27" s="57" t="e">
        <f t="shared" si="2"/>
        <v>#REF!</v>
      </c>
      <c r="J27" s="8">
        <f>J30+J28</f>
        <v>832480</v>
      </c>
      <c r="K27" s="8">
        <f>K30+K28</f>
        <v>252150</v>
      </c>
      <c r="L27" s="8">
        <f t="shared" si="3"/>
        <v>30.28901595233519</v>
      </c>
      <c r="M27" s="57">
        <f t="shared" si="0"/>
        <v>2.2984664884109196</v>
      </c>
      <c r="N27" s="57">
        <f t="shared" si="1"/>
        <v>0.5042804897912744</v>
      </c>
    </row>
    <row r="28" spans="1:14" ht="24" customHeight="1">
      <c r="A28" s="239"/>
      <c r="B28" s="243" t="s">
        <v>190</v>
      </c>
      <c r="C28" s="6"/>
      <c r="D28" s="7" t="s">
        <v>192</v>
      </c>
      <c r="E28" s="8" t="e">
        <f>#REF!+E29</f>
        <v>#REF!</v>
      </c>
      <c r="F28" s="8" t="e">
        <f>#REF!+F29</f>
        <v>#REF!</v>
      </c>
      <c r="G28" s="8" t="e">
        <f>#REF!+G29</f>
        <v>#REF!</v>
      </c>
      <c r="H28" s="8" t="e">
        <f>#REF!+H29</f>
        <v>#REF!</v>
      </c>
      <c r="I28" s="57" t="e">
        <f t="shared" si="2"/>
        <v>#REF!</v>
      </c>
      <c r="J28" s="8">
        <f>J29</f>
        <v>100</v>
      </c>
      <c r="K28" s="8">
        <f>K29</f>
        <v>0</v>
      </c>
      <c r="L28" s="8">
        <f t="shared" si="3"/>
        <v>0</v>
      </c>
      <c r="M28" s="57">
        <f t="shared" si="0"/>
        <v>0.0002760987036818806</v>
      </c>
      <c r="N28" s="57">
        <f t="shared" si="1"/>
        <v>0</v>
      </c>
    </row>
    <row r="29" spans="1:14" ht="12.75">
      <c r="A29" s="239"/>
      <c r="B29" s="245"/>
      <c r="C29" s="6" t="s">
        <v>90</v>
      </c>
      <c r="D29" s="9" t="s">
        <v>194</v>
      </c>
      <c r="E29" s="4"/>
      <c r="F29" s="4">
        <v>100</v>
      </c>
      <c r="G29" s="4">
        <v>100</v>
      </c>
      <c r="H29" s="4"/>
      <c r="I29" s="57">
        <f t="shared" si="2"/>
        <v>0</v>
      </c>
      <c r="J29" s="4">
        <v>100</v>
      </c>
      <c r="K29" s="4"/>
      <c r="L29" s="8">
        <f t="shared" si="3"/>
        <v>0</v>
      </c>
      <c r="M29" s="57">
        <f t="shared" si="0"/>
        <v>0.0002760987036818806</v>
      </c>
      <c r="N29" s="57">
        <f t="shared" si="1"/>
        <v>0</v>
      </c>
    </row>
    <row r="30" spans="1:14" ht="22.5" customHeight="1">
      <c r="A30" s="239"/>
      <c r="B30" s="243">
        <v>70005</v>
      </c>
      <c r="C30" s="6"/>
      <c r="D30" s="7" t="s">
        <v>13</v>
      </c>
      <c r="E30" s="8" t="e">
        <f>E33+E37+E39+E35+E444+E40+#REF!+E34+E31+#REF!+E42+E32+E36</f>
        <v>#REF!</v>
      </c>
      <c r="F30" s="8" t="e">
        <f>F33+F37+F39+F35+F444+F40+#REF!+F34+F31+#REF!+F42+F32+F36</f>
        <v>#REF!</v>
      </c>
      <c r="G30" s="8" t="e">
        <f>G33+G37+G39+G35+G444+G40+#REF!+G34+G31+#REF!+G42+G32+G36+G38</f>
        <v>#REF!</v>
      </c>
      <c r="H30" s="8" t="e">
        <f>H33+H37+H39+H35+H444+H40+#REF!+H34+H31+#REF!+H42+H32+H36+H38</f>
        <v>#REF!</v>
      </c>
      <c r="I30" s="57" t="e">
        <f t="shared" si="2"/>
        <v>#REF!</v>
      </c>
      <c r="J30" s="8">
        <f>J31+J32+J33+J34+J35+J36+J37+J38+J39+J40+J42</f>
        <v>832380</v>
      </c>
      <c r="K30" s="8">
        <f>K31+K32+K33+K34+K35+K36+K37+K38+K39+K40+K42</f>
        <v>252150</v>
      </c>
      <c r="L30" s="8">
        <f t="shared" si="3"/>
        <v>30.29265479708787</v>
      </c>
      <c r="M30" s="57">
        <f t="shared" si="0"/>
        <v>2.298190389707238</v>
      </c>
      <c r="N30" s="57">
        <f t="shared" si="1"/>
        <v>0.5042804897912744</v>
      </c>
    </row>
    <row r="31" spans="1:14" ht="24.75" customHeight="1">
      <c r="A31" s="239"/>
      <c r="B31" s="268"/>
      <c r="C31" s="6" t="s">
        <v>288</v>
      </c>
      <c r="D31" s="9" t="s">
        <v>289</v>
      </c>
      <c r="E31" s="4">
        <v>49308.56</v>
      </c>
      <c r="F31" s="4">
        <v>55000</v>
      </c>
      <c r="G31" s="4">
        <v>55000</v>
      </c>
      <c r="H31" s="4">
        <v>46269.64</v>
      </c>
      <c r="I31" s="57">
        <f t="shared" si="2"/>
        <v>84.12661818181817</v>
      </c>
      <c r="J31" s="4">
        <v>55000</v>
      </c>
      <c r="K31" s="4">
        <v>60000</v>
      </c>
      <c r="L31" s="8">
        <f t="shared" si="3"/>
        <v>109.09090909090908</v>
      </c>
      <c r="M31" s="57">
        <f t="shared" si="0"/>
        <v>0.15185428702503434</v>
      </c>
      <c r="N31" s="57">
        <f t="shared" si="1"/>
        <v>0.11999535747561556</v>
      </c>
    </row>
    <row r="32" spans="1:14" ht="36" customHeight="1">
      <c r="A32" s="239"/>
      <c r="B32" s="268"/>
      <c r="C32" s="6" t="s">
        <v>323</v>
      </c>
      <c r="D32" s="9" t="s">
        <v>333</v>
      </c>
      <c r="E32" s="4">
        <v>176.9</v>
      </c>
      <c r="F32" s="4">
        <v>200</v>
      </c>
      <c r="G32" s="4">
        <v>200</v>
      </c>
      <c r="H32" s="4">
        <v>166.5</v>
      </c>
      <c r="I32" s="57">
        <f t="shared" si="2"/>
        <v>83.25</v>
      </c>
      <c r="J32" s="4">
        <v>200</v>
      </c>
      <c r="K32" s="4">
        <v>250</v>
      </c>
      <c r="L32" s="8">
        <f t="shared" si="3"/>
        <v>125</v>
      </c>
      <c r="M32" s="57">
        <f t="shared" si="0"/>
        <v>0.0005521974073637613</v>
      </c>
      <c r="N32" s="57">
        <f t="shared" si="1"/>
        <v>0.0004999806561483981</v>
      </c>
    </row>
    <row r="33" spans="1:14" ht="25.5" customHeight="1">
      <c r="A33" s="239"/>
      <c r="B33" s="268"/>
      <c r="C33" s="6" t="s">
        <v>91</v>
      </c>
      <c r="D33" s="9" t="s">
        <v>15</v>
      </c>
      <c r="E33" s="4">
        <v>115660.67</v>
      </c>
      <c r="F33" s="4">
        <v>125000</v>
      </c>
      <c r="G33" s="4">
        <v>125000</v>
      </c>
      <c r="H33" s="4">
        <v>80983.9</v>
      </c>
      <c r="I33" s="57">
        <f t="shared" si="2"/>
        <v>64.78712</v>
      </c>
      <c r="J33" s="4">
        <v>100000</v>
      </c>
      <c r="K33" s="4">
        <v>120000</v>
      </c>
      <c r="L33" s="8">
        <f t="shared" si="3"/>
        <v>120</v>
      </c>
      <c r="M33" s="57">
        <f t="shared" si="0"/>
        <v>0.2760987036818806</v>
      </c>
      <c r="N33" s="57">
        <f t="shared" si="1"/>
        <v>0.23999071495123112</v>
      </c>
    </row>
    <row r="34" spans="1:14" ht="43.5" customHeight="1">
      <c r="A34" s="239"/>
      <c r="B34" s="268"/>
      <c r="C34" s="6" t="s">
        <v>258</v>
      </c>
      <c r="D34" s="9" t="s">
        <v>259</v>
      </c>
      <c r="E34" s="4"/>
      <c r="F34" s="4">
        <v>1000</v>
      </c>
      <c r="G34" s="4">
        <v>1000</v>
      </c>
      <c r="H34" s="4"/>
      <c r="I34" s="57">
        <f t="shared" si="2"/>
        <v>0</v>
      </c>
      <c r="J34" s="4">
        <v>300</v>
      </c>
      <c r="K34" s="4">
        <v>500</v>
      </c>
      <c r="L34" s="8">
        <f t="shared" si="3"/>
        <v>166.66666666666669</v>
      </c>
      <c r="M34" s="57">
        <f t="shared" si="0"/>
        <v>0.0008282961110456418</v>
      </c>
      <c r="N34" s="57">
        <f t="shared" si="1"/>
        <v>0.0009999613122967962</v>
      </c>
    </row>
    <row r="35" spans="1:14" ht="42" customHeight="1">
      <c r="A35" s="239"/>
      <c r="B35" s="268"/>
      <c r="C35" s="6" t="s">
        <v>142</v>
      </c>
      <c r="D35" s="9" t="s">
        <v>143</v>
      </c>
      <c r="E35" s="4">
        <v>42393.48</v>
      </c>
      <c r="F35" s="4">
        <v>550000</v>
      </c>
      <c r="G35" s="4">
        <v>838155.28</v>
      </c>
      <c r="H35" s="4">
        <v>438398.3</v>
      </c>
      <c r="I35" s="57">
        <f t="shared" si="2"/>
        <v>52.30514088033902</v>
      </c>
      <c r="J35" s="4">
        <v>470000</v>
      </c>
      <c r="K35" s="4">
        <v>50000</v>
      </c>
      <c r="L35" s="8">
        <f t="shared" si="3"/>
        <v>10.638297872340425</v>
      </c>
      <c r="M35" s="57">
        <f t="shared" si="0"/>
        <v>1.297663907304839</v>
      </c>
      <c r="N35" s="57">
        <f t="shared" si="1"/>
        <v>0.09999613122967962</v>
      </c>
    </row>
    <row r="36" spans="1:14" ht="25.5" customHeight="1">
      <c r="A36" s="239"/>
      <c r="B36" s="268"/>
      <c r="C36" s="6" t="s">
        <v>326</v>
      </c>
      <c r="D36" s="9" t="s">
        <v>334</v>
      </c>
      <c r="E36" s="4">
        <v>305</v>
      </c>
      <c r="F36" s="4">
        <v>1000</v>
      </c>
      <c r="G36" s="4">
        <v>1000</v>
      </c>
      <c r="H36" s="4"/>
      <c r="I36" s="57">
        <f t="shared" si="2"/>
        <v>0</v>
      </c>
      <c r="J36" s="4">
        <v>100</v>
      </c>
      <c r="K36" s="4"/>
      <c r="L36" s="8">
        <f t="shared" si="3"/>
        <v>0</v>
      </c>
      <c r="M36" s="57">
        <f t="shared" si="0"/>
        <v>0.0002760987036818806</v>
      </c>
      <c r="N36" s="57">
        <f t="shared" si="1"/>
        <v>0</v>
      </c>
    </row>
    <row r="37" spans="1:14" ht="16.5" customHeight="1">
      <c r="A37" s="239"/>
      <c r="B37" s="268"/>
      <c r="C37" s="6" t="s">
        <v>93</v>
      </c>
      <c r="D37" s="9" t="s">
        <v>16</v>
      </c>
      <c r="E37" s="4">
        <v>12785.54</v>
      </c>
      <c r="F37" s="4">
        <v>15000</v>
      </c>
      <c r="G37" s="4">
        <v>15000</v>
      </c>
      <c r="H37" s="4">
        <v>2580.17</v>
      </c>
      <c r="I37" s="57">
        <f t="shared" si="2"/>
        <v>17.201133333333335</v>
      </c>
      <c r="J37" s="4">
        <v>2800</v>
      </c>
      <c r="K37" s="4">
        <v>3000</v>
      </c>
      <c r="L37" s="8">
        <f t="shared" si="3"/>
        <v>107.14285714285714</v>
      </c>
      <c r="M37" s="57">
        <f t="shared" si="0"/>
        <v>0.007730763703092659</v>
      </c>
      <c r="N37" s="57">
        <f t="shared" si="1"/>
        <v>0.005999767873780777</v>
      </c>
    </row>
    <row r="38" spans="1:14" ht="12.75" customHeight="1">
      <c r="A38" s="239"/>
      <c r="B38" s="268"/>
      <c r="C38" s="6" t="s">
        <v>325</v>
      </c>
      <c r="D38" s="196" t="s">
        <v>330</v>
      </c>
      <c r="E38" s="4"/>
      <c r="F38" s="4"/>
      <c r="G38" s="4">
        <v>225</v>
      </c>
      <c r="H38" s="4">
        <v>225</v>
      </c>
      <c r="I38" s="57">
        <f t="shared" si="2"/>
        <v>100</v>
      </c>
      <c r="J38" s="4">
        <v>300</v>
      </c>
      <c r="K38" s="4">
        <v>400</v>
      </c>
      <c r="L38" s="8">
        <f t="shared" si="3"/>
        <v>133.33333333333331</v>
      </c>
      <c r="M38" s="57">
        <f t="shared" si="0"/>
        <v>0.0008282961110456418</v>
      </c>
      <c r="N38" s="57">
        <f t="shared" si="1"/>
        <v>0.0007999690498374371</v>
      </c>
    </row>
    <row r="39" spans="1:14" ht="12.75">
      <c r="A39" s="239"/>
      <c r="B39" s="268"/>
      <c r="C39" s="6" t="s">
        <v>90</v>
      </c>
      <c r="D39" s="9" t="s">
        <v>7</v>
      </c>
      <c r="E39" s="4">
        <v>3876.96</v>
      </c>
      <c r="F39" s="4">
        <v>6000</v>
      </c>
      <c r="G39" s="4">
        <v>17193</v>
      </c>
      <c r="H39" s="4">
        <v>17696.24</v>
      </c>
      <c r="I39" s="57">
        <f t="shared" si="2"/>
        <v>102.92700517652533</v>
      </c>
      <c r="J39" s="4">
        <v>18000</v>
      </c>
      <c r="K39" s="4">
        <v>18000</v>
      </c>
      <c r="L39" s="8">
        <f t="shared" si="3"/>
        <v>100</v>
      </c>
      <c r="M39" s="57">
        <f aca="true" t="shared" si="5" ref="M39:M70">(J39/$J$242)*100</f>
        <v>0.049697766662738514</v>
      </c>
      <c r="N39" s="57">
        <f aca="true" t="shared" si="6" ref="N39:N70">(K39/$K$242)*100</f>
        <v>0.035998607242684666</v>
      </c>
    </row>
    <row r="40" spans="1:14" ht="57.75" customHeight="1">
      <c r="A40" s="241"/>
      <c r="B40" s="244"/>
      <c r="C40" s="6" t="s">
        <v>193</v>
      </c>
      <c r="D40" s="9" t="s">
        <v>145</v>
      </c>
      <c r="E40" s="4"/>
      <c r="F40" s="4">
        <v>12726</v>
      </c>
      <c r="G40" s="4">
        <v>85680</v>
      </c>
      <c r="H40" s="4">
        <v>85680</v>
      </c>
      <c r="I40" s="57">
        <f t="shared" si="2"/>
        <v>100</v>
      </c>
      <c r="J40" s="4">
        <v>85680</v>
      </c>
      <c r="K40" s="4">
        <v>0</v>
      </c>
      <c r="L40" s="8">
        <f t="shared" si="3"/>
        <v>0</v>
      </c>
      <c r="M40" s="57">
        <f t="shared" si="5"/>
        <v>0.2365613693146353</v>
      </c>
      <c r="N40" s="57">
        <f t="shared" si="6"/>
        <v>0</v>
      </c>
    </row>
    <row r="41" spans="1:14" ht="12.75" customHeight="1">
      <c r="A41" s="241"/>
      <c r="B41" s="244"/>
      <c r="C41" s="6"/>
      <c r="D41" s="25" t="s">
        <v>461</v>
      </c>
      <c r="E41" s="4"/>
      <c r="F41" s="4"/>
      <c r="G41" s="4"/>
      <c r="H41" s="4"/>
      <c r="I41" s="57"/>
      <c r="J41" s="4"/>
      <c r="K41" s="4"/>
      <c r="L41" s="8"/>
      <c r="M41" s="57">
        <f t="shared" si="5"/>
        <v>0</v>
      </c>
      <c r="N41" s="57">
        <f t="shared" si="6"/>
        <v>0</v>
      </c>
    </row>
    <row r="42" spans="1:14" ht="57.75" customHeight="1">
      <c r="A42" s="242"/>
      <c r="B42" s="245"/>
      <c r="C42" s="6" t="s">
        <v>291</v>
      </c>
      <c r="D42" s="9" t="s">
        <v>304</v>
      </c>
      <c r="E42" s="4"/>
      <c r="F42" s="4">
        <v>100000</v>
      </c>
      <c r="G42" s="4">
        <v>100000</v>
      </c>
      <c r="H42" s="4"/>
      <c r="I42" s="57">
        <f t="shared" si="2"/>
        <v>0</v>
      </c>
      <c r="J42" s="207">
        <v>100000</v>
      </c>
      <c r="K42" s="4"/>
      <c r="L42" s="8">
        <f t="shared" si="3"/>
        <v>0</v>
      </c>
      <c r="M42" s="57">
        <f t="shared" si="5"/>
        <v>0.2760987036818806</v>
      </c>
      <c r="N42" s="57">
        <f t="shared" si="6"/>
        <v>0</v>
      </c>
    </row>
    <row r="43" spans="1:14" s="10" customFormat="1" ht="17.25" customHeight="1">
      <c r="A43" s="265">
        <v>710</v>
      </c>
      <c r="B43" s="5"/>
      <c r="C43" s="5"/>
      <c r="D43" s="7" t="s">
        <v>18</v>
      </c>
      <c r="E43" s="8">
        <f aca="true" t="shared" si="7" ref="E43:K44">E44</f>
        <v>3300</v>
      </c>
      <c r="F43" s="8">
        <f t="shared" si="7"/>
        <v>3300</v>
      </c>
      <c r="G43" s="8">
        <f t="shared" si="7"/>
        <v>3900</v>
      </c>
      <c r="H43" s="8">
        <f t="shared" si="7"/>
        <v>3900</v>
      </c>
      <c r="I43" s="57">
        <f t="shared" si="2"/>
        <v>100</v>
      </c>
      <c r="J43" s="8">
        <f t="shared" si="7"/>
        <v>3900</v>
      </c>
      <c r="K43" s="8">
        <f t="shared" si="7"/>
        <v>3900</v>
      </c>
      <c r="L43" s="8">
        <f t="shared" si="3"/>
        <v>100</v>
      </c>
      <c r="M43" s="57">
        <f t="shared" si="5"/>
        <v>0.010767849443593346</v>
      </c>
      <c r="N43" s="57">
        <f t="shared" si="6"/>
        <v>0.007799698235915011</v>
      </c>
    </row>
    <row r="44" spans="1:14" s="10" customFormat="1" ht="15" customHeight="1">
      <c r="A44" s="265"/>
      <c r="B44" s="197" t="s">
        <v>118</v>
      </c>
      <c r="C44" s="5"/>
      <c r="D44" s="7" t="s">
        <v>123</v>
      </c>
      <c r="E44" s="8">
        <f t="shared" si="7"/>
        <v>3300</v>
      </c>
      <c r="F44" s="8">
        <f t="shared" si="7"/>
        <v>3300</v>
      </c>
      <c r="G44" s="8">
        <f t="shared" si="7"/>
        <v>3900</v>
      </c>
      <c r="H44" s="8">
        <f t="shared" si="7"/>
        <v>3900</v>
      </c>
      <c r="I44" s="57">
        <f t="shared" si="2"/>
        <v>100</v>
      </c>
      <c r="J44" s="8">
        <f t="shared" si="7"/>
        <v>3900</v>
      </c>
      <c r="K44" s="8">
        <f t="shared" si="7"/>
        <v>3900</v>
      </c>
      <c r="L44" s="8">
        <f t="shared" si="3"/>
        <v>100</v>
      </c>
      <c r="M44" s="57">
        <f t="shared" si="5"/>
        <v>0.010767849443593346</v>
      </c>
      <c r="N44" s="57">
        <f t="shared" si="6"/>
        <v>0.007799698235915011</v>
      </c>
    </row>
    <row r="45" spans="1:14" ht="45" customHeight="1">
      <c r="A45" s="270"/>
      <c r="B45" s="197"/>
      <c r="C45" s="6" t="s">
        <v>119</v>
      </c>
      <c r="D45" s="9" t="s">
        <v>124</v>
      </c>
      <c r="E45" s="4">
        <v>3300</v>
      </c>
      <c r="F45" s="56">
        <v>3300</v>
      </c>
      <c r="G45" s="4">
        <v>3900</v>
      </c>
      <c r="H45" s="4">
        <v>3900</v>
      </c>
      <c r="I45" s="57">
        <f t="shared" si="2"/>
        <v>100</v>
      </c>
      <c r="J45" s="4">
        <v>3900</v>
      </c>
      <c r="K45" s="207">
        <v>3900</v>
      </c>
      <c r="L45" s="8">
        <f t="shared" si="3"/>
        <v>100</v>
      </c>
      <c r="M45" s="57">
        <f t="shared" si="5"/>
        <v>0.010767849443593346</v>
      </c>
      <c r="N45" s="57">
        <f t="shared" si="6"/>
        <v>0.007799698235915011</v>
      </c>
    </row>
    <row r="46" spans="1:14" ht="13.5" customHeight="1">
      <c r="A46" s="238">
        <v>750</v>
      </c>
      <c r="B46" s="197"/>
      <c r="C46" s="6"/>
      <c r="D46" s="7" t="s">
        <v>21</v>
      </c>
      <c r="E46" s="8" t="e">
        <f>E47+E50+E62+#REF!+E59</f>
        <v>#REF!</v>
      </c>
      <c r="F46" s="8" t="e">
        <f>F47+F50+F62+#REF!+F59</f>
        <v>#REF!</v>
      </c>
      <c r="G46" s="8" t="e">
        <f>G47+G50+G62+#REF!+G59</f>
        <v>#REF!</v>
      </c>
      <c r="H46" s="8" t="e">
        <f>H47+H50+H62+#REF!+H59</f>
        <v>#REF!</v>
      </c>
      <c r="I46" s="57" t="e">
        <f t="shared" si="2"/>
        <v>#REF!</v>
      </c>
      <c r="J46" s="8">
        <f>J47+J50+J59+J62</f>
        <v>62306</v>
      </c>
      <c r="K46" s="8">
        <f>K47+K50+K59+K62</f>
        <v>54700</v>
      </c>
      <c r="L46" s="8">
        <f t="shared" si="3"/>
        <v>87.79250794466023</v>
      </c>
      <c r="M46" s="57">
        <f t="shared" si="5"/>
        <v>0.17202605831603254</v>
      </c>
      <c r="N46" s="57">
        <f t="shared" si="6"/>
        <v>0.1093957675652695</v>
      </c>
    </row>
    <row r="47" spans="1:14" ht="13.5" customHeight="1">
      <c r="A47" s="239"/>
      <c r="B47" s="243">
        <v>75011</v>
      </c>
      <c r="C47" s="6"/>
      <c r="D47" s="7" t="s">
        <v>22</v>
      </c>
      <c r="E47" s="8">
        <f aca="true" t="shared" si="8" ref="E47:K47">E48+E49</f>
        <v>64688</v>
      </c>
      <c r="F47" s="8">
        <f t="shared" si="8"/>
        <v>46313</v>
      </c>
      <c r="G47" s="8">
        <f t="shared" si="8"/>
        <v>46551</v>
      </c>
      <c r="H47" s="8">
        <f t="shared" si="8"/>
        <v>37560</v>
      </c>
      <c r="I47" s="57">
        <f t="shared" si="2"/>
        <v>80.68569955532642</v>
      </c>
      <c r="J47" s="8">
        <f t="shared" si="8"/>
        <v>51756</v>
      </c>
      <c r="K47" s="8">
        <f t="shared" si="8"/>
        <v>44655</v>
      </c>
      <c r="L47" s="8">
        <f t="shared" si="3"/>
        <v>86.27985161140738</v>
      </c>
      <c r="M47" s="57">
        <f t="shared" si="5"/>
        <v>0.14289764507759414</v>
      </c>
      <c r="N47" s="57">
        <f t="shared" si="6"/>
        <v>0.08930654480122688</v>
      </c>
    </row>
    <row r="48" spans="1:14" ht="44.25" customHeight="1">
      <c r="A48" s="239"/>
      <c r="B48" s="247"/>
      <c r="C48" s="6">
        <v>2010</v>
      </c>
      <c r="D48" s="9" t="s">
        <v>23</v>
      </c>
      <c r="E48" s="4">
        <v>64688</v>
      </c>
      <c r="F48" s="4">
        <v>46313</v>
      </c>
      <c r="G48" s="4">
        <v>46551</v>
      </c>
      <c r="H48" s="4">
        <v>37560</v>
      </c>
      <c r="I48" s="57">
        <f t="shared" si="2"/>
        <v>80.68569955532642</v>
      </c>
      <c r="J48" s="4">
        <v>51751</v>
      </c>
      <c r="K48" s="207">
        <v>44655</v>
      </c>
      <c r="L48" s="8">
        <f t="shared" si="3"/>
        <v>86.28818766787116</v>
      </c>
      <c r="M48" s="57">
        <f t="shared" si="5"/>
        <v>0.14288384014241007</v>
      </c>
      <c r="N48" s="57">
        <f t="shared" si="6"/>
        <v>0.08930654480122688</v>
      </c>
    </row>
    <row r="49" spans="1:14" ht="36.75" customHeight="1">
      <c r="A49" s="239"/>
      <c r="B49" s="245"/>
      <c r="C49" s="6" t="s">
        <v>158</v>
      </c>
      <c r="D49" s="9" t="s">
        <v>125</v>
      </c>
      <c r="E49" s="4"/>
      <c r="F49" s="4"/>
      <c r="G49" s="4"/>
      <c r="H49" s="4"/>
      <c r="I49" s="57" t="e">
        <f t="shared" si="2"/>
        <v>#DIV/0!</v>
      </c>
      <c r="J49" s="4">
        <v>5</v>
      </c>
      <c r="K49" s="4">
        <v>0</v>
      </c>
      <c r="L49" s="8"/>
      <c r="M49" s="57">
        <f t="shared" si="5"/>
        <v>1.3804935184094032E-05</v>
      </c>
      <c r="N49" s="57">
        <f t="shared" si="6"/>
        <v>0</v>
      </c>
    </row>
    <row r="50" spans="1:14" ht="21">
      <c r="A50" s="239"/>
      <c r="B50" s="243">
        <v>75023</v>
      </c>
      <c r="C50" s="6"/>
      <c r="D50" s="7" t="s">
        <v>24</v>
      </c>
      <c r="E50" s="8" t="e">
        <f>E53+E55+E57+E58+E56+E54+E52+#REF!</f>
        <v>#REF!</v>
      </c>
      <c r="F50" s="8" t="e">
        <f>F53+F55+F57+F58+F56+F54+F52+#REF!</f>
        <v>#REF!</v>
      </c>
      <c r="G50" s="8" t="e">
        <f>G53+G55+G57+G58+G56+G54+G52+#REF!+G51</f>
        <v>#REF!</v>
      </c>
      <c r="H50" s="8" t="e">
        <f>H53+H55+H57+H58+H56+H54+H52+#REF!+H51</f>
        <v>#REF!</v>
      </c>
      <c r="I50" s="57" t="e">
        <f t="shared" si="2"/>
        <v>#REF!</v>
      </c>
      <c r="J50" s="8">
        <f>J51+J52+J53+J54+J55+J56+J57+J58</f>
        <v>10205</v>
      </c>
      <c r="K50" s="8">
        <f>K51+K52+K53+K54+K55+K56+K57+K58</f>
        <v>9665</v>
      </c>
      <c r="L50" s="8">
        <f t="shared" si="3"/>
        <v>94.70847623713865</v>
      </c>
      <c r="M50" s="57">
        <f t="shared" si="5"/>
        <v>0.02817587271073592</v>
      </c>
      <c r="N50" s="57">
        <f t="shared" si="6"/>
        <v>0.01932925216669707</v>
      </c>
    </row>
    <row r="51" spans="1:14" ht="56.25" customHeight="1">
      <c r="A51" s="239"/>
      <c r="B51" s="247"/>
      <c r="C51" s="6" t="s">
        <v>407</v>
      </c>
      <c r="D51" s="187" t="s">
        <v>408</v>
      </c>
      <c r="E51" s="8"/>
      <c r="F51" s="8"/>
      <c r="G51" s="4">
        <v>217</v>
      </c>
      <c r="H51" s="8">
        <v>217</v>
      </c>
      <c r="I51" s="57">
        <f t="shared" si="2"/>
        <v>100</v>
      </c>
      <c r="J51" s="4">
        <v>245</v>
      </c>
      <c r="K51" s="4">
        <v>300</v>
      </c>
      <c r="L51" s="8"/>
      <c r="M51" s="57">
        <f t="shared" si="5"/>
        <v>0.0006764418240206076</v>
      </c>
      <c r="N51" s="57">
        <f t="shared" si="6"/>
        <v>0.0005999767873780778</v>
      </c>
    </row>
    <row r="52" spans="1:14" ht="12" customHeight="1">
      <c r="A52" s="239"/>
      <c r="B52" s="247"/>
      <c r="C52" s="6" t="s">
        <v>95</v>
      </c>
      <c r="D52" s="9" t="s">
        <v>20</v>
      </c>
      <c r="E52" s="4">
        <v>9.8</v>
      </c>
      <c r="F52" s="4">
        <v>50</v>
      </c>
      <c r="G52" s="4">
        <v>50</v>
      </c>
      <c r="H52" s="4"/>
      <c r="I52" s="57">
        <f t="shared" si="2"/>
        <v>0</v>
      </c>
      <c r="J52" s="4">
        <v>50</v>
      </c>
      <c r="K52" s="4">
        <v>50</v>
      </c>
      <c r="L52" s="8">
        <f t="shared" si="3"/>
        <v>100</v>
      </c>
      <c r="M52" s="57">
        <f t="shared" si="5"/>
        <v>0.0001380493518409403</v>
      </c>
      <c r="N52" s="57">
        <f t="shared" si="6"/>
        <v>9.999613122967964E-05</v>
      </c>
    </row>
    <row r="53" spans="1:14" ht="24" customHeight="1">
      <c r="A53" s="239"/>
      <c r="B53" s="268"/>
      <c r="C53" s="6" t="s">
        <v>91</v>
      </c>
      <c r="D53" s="9" t="s">
        <v>15</v>
      </c>
      <c r="E53" s="4">
        <v>712.6</v>
      </c>
      <c r="F53" s="4">
        <v>1000</v>
      </c>
      <c r="G53" s="4">
        <v>1000</v>
      </c>
      <c r="H53" s="4">
        <v>400</v>
      </c>
      <c r="I53" s="57">
        <f t="shared" si="2"/>
        <v>40</v>
      </c>
      <c r="J53" s="4">
        <v>500</v>
      </c>
      <c r="K53" s="4">
        <v>700</v>
      </c>
      <c r="L53" s="8">
        <f t="shared" si="3"/>
        <v>140</v>
      </c>
      <c r="M53" s="57">
        <f t="shared" si="5"/>
        <v>0.0013804935184094033</v>
      </c>
      <c r="N53" s="57">
        <f t="shared" si="6"/>
        <v>0.0013999458372155147</v>
      </c>
    </row>
    <row r="54" spans="1:14" ht="12.75">
      <c r="A54" s="239"/>
      <c r="B54" s="268"/>
      <c r="C54" s="6" t="s">
        <v>96</v>
      </c>
      <c r="D54" s="9" t="s">
        <v>25</v>
      </c>
      <c r="E54" s="4"/>
      <c r="F54" s="4"/>
      <c r="G54" s="4"/>
      <c r="H54" s="4"/>
      <c r="I54" s="57" t="e">
        <f t="shared" si="2"/>
        <v>#DIV/0!</v>
      </c>
      <c r="J54" s="4">
        <v>100</v>
      </c>
      <c r="K54" s="4"/>
      <c r="L54" s="8">
        <f t="shared" si="3"/>
        <v>0</v>
      </c>
      <c r="M54" s="57">
        <f t="shared" si="5"/>
        <v>0.0002760987036818806</v>
      </c>
      <c r="N54" s="57">
        <f t="shared" si="6"/>
        <v>0</v>
      </c>
    </row>
    <row r="55" spans="1:14" ht="22.5" customHeight="1">
      <c r="A55" s="239"/>
      <c r="B55" s="268"/>
      <c r="C55" s="6" t="s">
        <v>97</v>
      </c>
      <c r="D55" s="9" t="s">
        <v>26</v>
      </c>
      <c r="E55" s="4">
        <v>8847.14</v>
      </c>
      <c r="F55" s="4">
        <v>10000</v>
      </c>
      <c r="G55" s="4">
        <v>10000</v>
      </c>
      <c r="H55" s="4">
        <v>5430.98</v>
      </c>
      <c r="I55" s="57">
        <f t="shared" si="2"/>
        <v>54.309799999999996</v>
      </c>
      <c r="J55" s="4">
        <v>8300</v>
      </c>
      <c r="K55" s="4">
        <v>7500</v>
      </c>
      <c r="L55" s="8">
        <f t="shared" si="3"/>
        <v>90.36144578313254</v>
      </c>
      <c r="M55" s="57">
        <f t="shared" si="5"/>
        <v>0.022916192405596093</v>
      </c>
      <c r="N55" s="57">
        <f t="shared" si="6"/>
        <v>0.014999419684451945</v>
      </c>
    </row>
    <row r="56" spans="1:14" ht="17.25" customHeight="1">
      <c r="A56" s="239"/>
      <c r="B56" s="268"/>
      <c r="C56" s="6" t="s">
        <v>325</v>
      </c>
      <c r="D56" s="196" t="s">
        <v>330</v>
      </c>
      <c r="E56" s="4">
        <v>200</v>
      </c>
      <c r="F56" s="4">
        <v>500</v>
      </c>
      <c r="G56" s="4">
        <v>500</v>
      </c>
      <c r="H56" s="4">
        <v>263.99</v>
      </c>
      <c r="I56" s="57">
        <f t="shared" si="2"/>
        <v>52.798</v>
      </c>
      <c r="J56" s="4">
        <v>300</v>
      </c>
      <c r="K56" s="4">
        <v>400</v>
      </c>
      <c r="L56" s="8">
        <f t="shared" si="3"/>
        <v>133.33333333333331</v>
      </c>
      <c r="M56" s="57">
        <f t="shared" si="5"/>
        <v>0.0008282961110456418</v>
      </c>
      <c r="N56" s="57">
        <f t="shared" si="6"/>
        <v>0.0007999690498374371</v>
      </c>
    </row>
    <row r="57" spans="1:14" ht="16.5" customHeight="1">
      <c r="A57" s="239"/>
      <c r="B57" s="268"/>
      <c r="C57" s="6" t="s">
        <v>90</v>
      </c>
      <c r="D57" s="9" t="s">
        <v>7</v>
      </c>
      <c r="E57" s="4">
        <v>499.32</v>
      </c>
      <c r="F57" s="4">
        <v>1000</v>
      </c>
      <c r="G57" s="4">
        <v>1000</v>
      </c>
      <c r="H57" s="4">
        <v>451</v>
      </c>
      <c r="I57" s="57">
        <f t="shared" si="2"/>
        <v>45.1</v>
      </c>
      <c r="J57" s="4">
        <v>700</v>
      </c>
      <c r="K57" s="4">
        <v>700</v>
      </c>
      <c r="L57" s="8">
        <f t="shared" si="3"/>
        <v>100</v>
      </c>
      <c r="M57" s="57">
        <f t="shared" si="5"/>
        <v>0.0019326909257731647</v>
      </c>
      <c r="N57" s="57">
        <f t="shared" si="6"/>
        <v>0.0013999458372155147</v>
      </c>
    </row>
    <row r="58" spans="1:14" ht="35.25" customHeight="1">
      <c r="A58" s="239"/>
      <c r="B58" s="268"/>
      <c r="C58" s="6">
        <v>2360</v>
      </c>
      <c r="D58" s="9" t="s">
        <v>125</v>
      </c>
      <c r="E58" s="4">
        <v>7.75</v>
      </c>
      <c r="F58" s="4">
        <v>50</v>
      </c>
      <c r="G58" s="4">
        <v>50</v>
      </c>
      <c r="H58" s="4">
        <v>3.1</v>
      </c>
      <c r="I58" s="57">
        <f t="shared" si="2"/>
        <v>6.2</v>
      </c>
      <c r="J58" s="4">
        <v>10</v>
      </c>
      <c r="K58" s="4">
        <v>15</v>
      </c>
      <c r="L58" s="8">
        <f t="shared" si="3"/>
        <v>150</v>
      </c>
      <c r="M58" s="57">
        <f t="shared" si="5"/>
        <v>2.7609870368188064E-05</v>
      </c>
      <c r="N58" s="57">
        <f t="shared" si="6"/>
        <v>2.9998839368903887E-05</v>
      </c>
    </row>
    <row r="59" spans="1:14" ht="24.75" customHeight="1">
      <c r="A59" s="239"/>
      <c r="B59" s="248">
        <v>75085</v>
      </c>
      <c r="C59" s="6"/>
      <c r="D59" s="7" t="s">
        <v>337</v>
      </c>
      <c r="E59" s="8">
        <f>SUM(E60:E61)</f>
        <v>483.43</v>
      </c>
      <c r="F59" s="8">
        <f>F60+F61</f>
        <v>200</v>
      </c>
      <c r="G59" s="4">
        <f>SUM(G60:G61)</f>
        <v>200</v>
      </c>
      <c r="H59" s="4">
        <f>SUM(H60:H61)</f>
        <v>243.91</v>
      </c>
      <c r="I59" s="57">
        <f t="shared" si="2"/>
        <v>121.95499999999998</v>
      </c>
      <c r="J59" s="8">
        <f>J60+J61</f>
        <v>325</v>
      </c>
      <c r="K59" s="8">
        <f>K60+K61</f>
        <v>350</v>
      </c>
      <c r="L59" s="8">
        <f t="shared" si="3"/>
        <v>107.6923076923077</v>
      </c>
      <c r="M59" s="57">
        <f t="shared" si="5"/>
        <v>0.000897320786966112</v>
      </c>
      <c r="N59" s="57">
        <f t="shared" si="6"/>
        <v>0.0006999729186077573</v>
      </c>
    </row>
    <row r="60" spans="1:14" ht="12.75" customHeight="1">
      <c r="A60" s="239"/>
      <c r="B60" s="249"/>
      <c r="C60" s="6" t="s">
        <v>93</v>
      </c>
      <c r="D60" s="9" t="s">
        <v>338</v>
      </c>
      <c r="E60" s="4">
        <v>313.61</v>
      </c>
      <c r="F60" s="4">
        <v>100</v>
      </c>
      <c r="G60" s="4">
        <v>100</v>
      </c>
      <c r="H60" s="4">
        <v>113.31</v>
      </c>
      <c r="I60" s="57">
        <f t="shared" si="2"/>
        <v>113.31</v>
      </c>
      <c r="J60" s="4">
        <v>150</v>
      </c>
      <c r="K60" s="4">
        <v>170</v>
      </c>
      <c r="L60" s="8">
        <f t="shared" si="3"/>
        <v>113.33333333333333</v>
      </c>
      <c r="M60" s="57">
        <f t="shared" si="5"/>
        <v>0.0004141480555228209</v>
      </c>
      <c r="N60" s="57">
        <f t="shared" si="6"/>
        <v>0.00033998684618091073</v>
      </c>
    </row>
    <row r="61" spans="1:14" ht="15.75" customHeight="1">
      <c r="A61" s="239"/>
      <c r="B61" s="250"/>
      <c r="C61" s="6" t="s">
        <v>90</v>
      </c>
      <c r="D61" s="9" t="s">
        <v>7</v>
      </c>
      <c r="E61" s="4">
        <v>169.82</v>
      </c>
      <c r="F61" s="4">
        <v>100</v>
      </c>
      <c r="G61" s="4">
        <v>100</v>
      </c>
      <c r="H61" s="4">
        <v>130.6</v>
      </c>
      <c r="I61" s="57">
        <f t="shared" si="2"/>
        <v>130.6</v>
      </c>
      <c r="J61" s="4">
        <v>175</v>
      </c>
      <c r="K61" s="4">
        <v>180</v>
      </c>
      <c r="L61" s="8">
        <f t="shared" si="3"/>
        <v>102.85714285714285</v>
      </c>
      <c r="M61" s="57">
        <f t="shared" si="5"/>
        <v>0.00048317273144329116</v>
      </c>
      <c r="N61" s="57">
        <f t="shared" si="6"/>
        <v>0.00035998607242684666</v>
      </c>
    </row>
    <row r="62" spans="1:14" s="52" customFormat="1" ht="13.5" customHeight="1">
      <c r="A62" s="241"/>
      <c r="B62" s="248">
        <v>75095</v>
      </c>
      <c r="C62" s="5"/>
      <c r="D62" s="7" t="s">
        <v>8</v>
      </c>
      <c r="E62" s="8" t="e">
        <f>#REF!+#REF!+E63</f>
        <v>#REF!</v>
      </c>
      <c r="F62" s="8" t="e">
        <f>#REF!+#REF!+F63</f>
        <v>#REF!</v>
      </c>
      <c r="G62" s="8" t="e">
        <f>#REF!+#REF!+G63</f>
        <v>#REF!</v>
      </c>
      <c r="H62" s="8" t="e">
        <f>#REF!+#REF!+H63</f>
        <v>#REF!</v>
      </c>
      <c r="I62" s="57" t="e">
        <f t="shared" si="2"/>
        <v>#REF!</v>
      </c>
      <c r="J62" s="8">
        <f>J63</f>
        <v>20</v>
      </c>
      <c r="K62" s="8">
        <f>K63</f>
        <v>30</v>
      </c>
      <c r="L62" s="8">
        <f t="shared" si="3"/>
        <v>150</v>
      </c>
      <c r="M62" s="57">
        <f t="shared" si="5"/>
        <v>5.521974073637613E-05</v>
      </c>
      <c r="N62" s="57">
        <f t="shared" si="6"/>
        <v>5.9997678737807774E-05</v>
      </c>
    </row>
    <row r="63" spans="1:14" s="51" customFormat="1" ht="26.25" customHeight="1">
      <c r="A63" s="241"/>
      <c r="B63" s="249"/>
      <c r="C63" s="6" t="s">
        <v>325</v>
      </c>
      <c r="D63" s="9" t="s">
        <v>339</v>
      </c>
      <c r="E63" s="4">
        <v>7.11</v>
      </c>
      <c r="F63" s="4">
        <v>10</v>
      </c>
      <c r="G63" s="4">
        <v>10</v>
      </c>
      <c r="H63" s="4">
        <v>0</v>
      </c>
      <c r="I63" s="57">
        <f aca="true" t="shared" si="9" ref="I63:I111">H63/G63*100</f>
        <v>0</v>
      </c>
      <c r="J63" s="4">
        <v>20</v>
      </c>
      <c r="K63" s="4">
        <v>30</v>
      </c>
      <c r="L63" s="8">
        <f t="shared" si="3"/>
        <v>150</v>
      </c>
      <c r="M63" s="57">
        <f t="shared" si="5"/>
        <v>5.521974073637613E-05</v>
      </c>
      <c r="N63" s="57">
        <f t="shared" si="6"/>
        <v>5.9997678737807774E-05</v>
      </c>
    </row>
    <row r="64" spans="1:14" ht="22.5" customHeight="1">
      <c r="A64" s="238" t="s">
        <v>256</v>
      </c>
      <c r="B64" s="197"/>
      <c r="C64" s="6"/>
      <c r="D64" s="7" t="s">
        <v>27</v>
      </c>
      <c r="E64" s="8">
        <f aca="true" t="shared" si="10" ref="E64:K65">E65</f>
        <v>1600</v>
      </c>
      <c r="F64" s="8">
        <f t="shared" si="10"/>
        <v>1600</v>
      </c>
      <c r="G64" s="8">
        <f>G65+G67</f>
        <v>41629</v>
      </c>
      <c r="H64" s="8">
        <f>H65+H67</f>
        <v>41233</v>
      </c>
      <c r="I64" s="57">
        <f t="shared" si="9"/>
        <v>99.04874006101517</v>
      </c>
      <c r="J64" s="8">
        <f>J65+J67</f>
        <v>41629</v>
      </c>
      <c r="K64" s="8">
        <f t="shared" si="10"/>
        <v>1589</v>
      </c>
      <c r="L64" s="8">
        <f t="shared" si="3"/>
        <v>3.817050613754834</v>
      </c>
      <c r="M64" s="57">
        <f t="shared" si="5"/>
        <v>0.11493712935573008</v>
      </c>
      <c r="N64" s="57">
        <f t="shared" si="6"/>
        <v>0.0031778770504792184</v>
      </c>
    </row>
    <row r="65" spans="1:14" ht="30.75" customHeight="1">
      <c r="A65" s="239"/>
      <c r="B65" s="243">
        <v>75101</v>
      </c>
      <c r="C65" s="6"/>
      <c r="D65" s="7" t="s">
        <v>28</v>
      </c>
      <c r="E65" s="8">
        <f t="shared" si="10"/>
        <v>1600</v>
      </c>
      <c r="F65" s="8">
        <f t="shared" si="10"/>
        <v>1600</v>
      </c>
      <c r="G65" s="8">
        <f t="shared" si="10"/>
        <v>1589</v>
      </c>
      <c r="H65" s="8">
        <f t="shared" si="10"/>
        <v>1193</v>
      </c>
      <c r="I65" s="57">
        <f t="shared" si="9"/>
        <v>75.0786658275645</v>
      </c>
      <c r="J65" s="8">
        <f t="shared" si="10"/>
        <v>1589</v>
      </c>
      <c r="K65" s="8">
        <f t="shared" si="10"/>
        <v>1589</v>
      </c>
      <c r="L65" s="8">
        <f t="shared" si="3"/>
        <v>100</v>
      </c>
      <c r="M65" s="57">
        <f t="shared" si="5"/>
        <v>0.004387208401505084</v>
      </c>
      <c r="N65" s="57">
        <f t="shared" si="6"/>
        <v>0.0031778770504792184</v>
      </c>
    </row>
    <row r="66" spans="1:14" ht="35.25" customHeight="1">
      <c r="A66" s="239"/>
      <c r="B66" s="251"/>
      <c r="C66" s="6">
        <v>2010</v>
      </c>
      <c r="D66" s="9" t="s">
        <v>23</v>
      </c>
      <c r="E66" s="4">
        <v>1600</v>
      </c>
      <c r="F66" s="4">
        <v>1600</v>
      </c>
      <c r="G66" s="4">
        <v>1589</v>
      </c>
      <c r="H66" s="4">
        <v>1193</v>
      </c>
      <c r="I66" s="57">
        <f t="shared" si="9"/>
        <v>75.0786658275645</v>
      </c>
      <c r="J66" s="4">
        <v>1589</v>
      </c>
      <c r="K66" s="207">
        <v>1589</v>
      </c>
      <c r="L66" s="8">
        <f aca="true" t="shared" si="11" ref="L66:L122">K66/J66*100</f>
        <v>100</v>
      </c>
      <c r="M66" s="57">
        <f t="shared" si="5"/>
        <v>0.004387208401505084</v>
      </c>
      <c r="N66" s="57">
        <f t="shared" si="6"/>
        <v>0.0031778770504792184</v>
      </c>
    </row>
    <row r="67" spans="1:14" ht="62.25" customHeight="1">
      <c r="A67" s="128"/>
      <c r="B67" s="203" t="s">
        <v>409</v>
      </c>
      <c r="C67" s="6"/>
      <c r="D67" s="188" t="s">
        <v>410</v>
      </c>
      <c r="E67" s="8"/>
      <c r="F67" s="8"/>
      <c r="G67" s="8">
        <f>SUM(G68)</f>
        <v>40040</v>
      </c>
      <c r="H67" s="8">
        <v>40040</v>
      </c>
      <c r="I67" s="57">
        <f t="shared" si="9"/>
        <v>100</v>
      </c>
      <c r="J67" s="8">
        <f>J68</f>
        <v>40040</v>
      </c>
      <c r="K67" s="8">
        <f>K68</f>
        <v>0</v>
      </c>
      <c r="L67" s="8">
        <f t="shared" si="11"/>
        <v>0</v>
      </c>
      <c r="M67" s="57">
        <f t="shared" si="5"/>
        <v>0.11054992095422501</v>
      </c>
      <c r="N67" s="57">
        <f t="shared" si="6"/>
        <v>0</v>
      </c>
    </row>
    <row r="68" spans="1:14" ht="48" customHeight="1">
      <c r="A68" s="128"/>
      <c r="B68" s="203"/>
      <c r="C68" s="6" t="s">
        <v>117</v>
      </c>
      <c r="D68" s="9" t="s">
        <v>23</v>
      </c>
      <c r="E68" s="4"/>
      <c r="F68" s="4"/>
      <c r="G68" s="4">
        <v>40040</v>
      </c>
      <c r="H68" s="4">
        <v>40040</v>
      </c>
      <c r="I68" s="57">
        <f t="shared" si="9"/>
        <v>100</v>
      </c>
      <c r="J68" s="4">
        <v>40040</v>
      </c>
      <c r="K68" s="4"/>
      <c r="L68" s="8">
        <f t="shared" si="11"/>
        <v>0</v>
      </c>
      <c r="M68" s="57">
        <f t="shared" si="5"/>
        <v>0.11054992095422501</v>
      </c>
      <c r="N68" s="57">
        <f t="shared" si="6"/>
        <v>0</v>
      </c>
    </row>
    <row r="69" spans="1:14" ht="33" customHeight="1">
      <c r="A69" s="238">
        <v>754</v>
      </c>
      <c r="B69" s="197"/>
      <c r="C69" s="6"/>
      <c r="D69" s="7" t="s">
        <v>447</v>
      </c>
      <c r="E69" s="8" t="e">
        <f>E70+#REF!</f>
        <v>#REF!</v>
      </c>
      <c r="F69" s="8" t="e">
        <f>F70+#REF!</f>
        <v>#REF!</v>
      </c>
      <c r="G69" s="8" t="e">
        <f>G70+#REF!</f>
        <v>#REF!</v>
      </c>
      <c r="H69" s="8" t="e">
        <f>H70+#REF!</f>
        <v>#REF!</v>
      </c>
      <c r="I69" s="57" t="e">
        <f t="shared" si="9"/>
        <v>#REF!</v>
      </c>
      <c r="J69" s="8">
        <f>J70</f>
        <v>50863.23</v>
      </c>
      <c r="K69" s="8">
        <f>K70</f>
        <v>335150</v>
      </c>
      <c r="L69" s="8">
        <f t="shared" si="11"/>
        <v>658.9239417158525</v>
      </c>
      <c r="M69" s="57">
        <f t="shared" si="5"/>
        <v>0.14043271868073343</v>
      </c>
      <c r="N69" s="57">
        <f t="shared" si="6"/>
        <v>0.6702740676325426</v>
      </c>
    </row>
    <row r="70" spans="1:14" ht="17.25" customHeight="1">
      <c r="A70" s="239"/>
      <c r="B70" s="243" t="s">
        <v>260</v>
      </c>
      <c r="C70" s="6"/>
      <c r="D70" s="7" t="s">
        <v>261</v>
      </c>
      <c r="E70" s="8" t="e">
        <f>#REF!+#REF!+E72+#REF!+#REF!+#REF!</f>
        <v>#REF!</v>
      </c>
      <c r="F70" s="8" t="e">
        <f>#REF!+#REF!+F72+#REF!+#REF!</f>
        <v>#REF!</v>
      </c>
      <c r="G70" s="8" t="e">
        <f>#REF!+#REF!+G72+#REF!+#REF!+G71</f>
        <v>#REF!</v>
      </c>
      <c r="H70" s="8" t="e">
        <f>#REF!+#REF!+H72+#REF!+#REF!+H71</f>
        <v>#REF!</v>
      </c>
      <c r="I70" s="57" t="e">
        <f t="shared" si="9"/>
        <v>#REF!</v>
      </c>
      <c r="J70" s="8">
        <f>J71+J72</f>
        <v>50863.23</v>
      </c>
      <c r="K70" s="8">
        <f>K71+K72</f>
        <v>335150</v>
      </c>
      <c r="L70" s="8">
        <f t="shared" si="11"/>
        <v>658.9239417158525</v>
      </c>
      <c r="M70" s="57">
        <f t="shared" si="5"/>
        <v>0.14043271868073343</v>
      </c>
      <c r="N70" s="57">
        <f t="shared" si="6"/>
        <v>0.6702740676325426</v>
      </c>
    </row>
    <row r="71" spans="1:14" ht="46.5" customHeight="1">
      <c r="A71" s="239"/>
      <c r="B71" s="247"/>
      <c r="C71" s="6" t="s">
        <v>413</v>
      </c>
      <c r="D71" s="9" t="s">
        <v>448</v>
      </c>
      <c r="E71" s="4"/>
      <c r="F71" s="4"/>
      <c r="G71" s="4">
        <v>50863.23</v>
      </c>
      <c r="H71" s="4">
        <v>50863.23</v>
      </c>
      <c r="I71" s="57">
        <f t="shared" si="9"/>
        <v>100</v>
      </c>
      <c r="J71" s="4">
        <v>50863.23</v>
      </c>
      <c r="K71" s="4"/>
      <c r="L71" s="8"/>
      <c r="M71" s="57">
        <f aca="true" t="shared" si="12" ref="M71:M102">(J71/$J$242)*100</f>
        <v>0.14043271868073343</v>
      </c>
      <c r="N71" s="57">
        <f aca="true" t="shared" si="13" ref="N71:N102">(K71/$K$242)*100</f>
        <v>0</v>
      </c>
    </row>
    <row r="72" spans="1:14" ht="57" customHeight="1">
      <c r="A72" s="239"/>
      <c r="B72" s="247"/>
      <c r="C72" s="6" t="s">
        <v>193</v>
      </c>
      <c r="D72" s="9" t="s">
        <v>145</v>
      </c>
      <c r="E72" s="4"/>
      <c r="F72" s="4">
        <v>425000</v>
      </c>
      <c r="G72" s="4"/>
      <c r="H72" s="4"/>
      <c r="I72" s="57" t="e">
        <f t="shared" si="9"/>
        <v>#DIV/0!</v>
      </c>
      <c r="J72" s="4"/>
      <c r="K72" s="4">
        <v>335150</v>
      </c>
      <c r="L72" s="8"/>
      <c r="M72" s="57">
        <f t="shared" si="12"/>
        <v>0</v>
      </c>
      <c r="N72" s="57">
        <f t="shared" si="13"/>
        <v>0.6702740676325426</v>
      </c>
    </row>
    <row r="73" spans="1:14" ht="59.25" customHeight="1">
      <c r="A73" s="265">
        <v>756</v>
      </c>
      <c r="B73" s="197"/>
      <c r="C73" s="6"/>
      <c r="D73" s="7" t="s">
        <v>82</v>
      </c>
      <c r="E73" s="8" t="e">
        <f>E74+E76+E84+E97+E102</f>
        <v>#REF!</v>
      </c>
      <c r="F73" s="8" t="e">
        <f>F74+F76+F84+F97+F102</f>
        <v>#REF!</v>
      </c>
      <c r="G73" s="8" t="e">
        <f>G74+G76+G84+G97+G102</f>
        <v>#REF!</v>
      </c>
      <c r="H73" s="8" t="e">
        <f>H74+H76+H84+H97+H102</f>
        <v>#REF!</v>
      </c>
      <c r="I73" s="57" t="e">
        <f t="shared" si="9"/>
        <v>#REF!</v>
      </c>
      <c r="J73" s="8">
        <f>J74+J76+J84+J97+J102</f>
        <v>7173604</v>
      </c>
      <c r="K73" s="8">
        <f>K74+K76+K84+K97+K102</f>
        <v>9177230.83</v>
      </c>
      <c r="L73" s="8">
        <f>L74+L76+L84+L97+L102</f>
        <v>584.3733640220247</v>
      </c>
      <c r="M73" s="57">
        <f t="shared" si="12"/>
        <v>19.806227651271534</v>
      </c>
      <c r="N73" s="57">
        <f t="shared" si="13"/>
        <v>18.353751568034834</v>
      </c>
    </row>
    <row r="74" spans="1:14" ht="23.25" customHeight="1">
      <c r="A74" s="265"/>
      <c r="B74" s="243">
        <v>75601</v>
      </c>
      <c r="C74" s="6"/>
      <c r="D74" s="7" t="s">
        <v>426</v>
      </c>
      <c r="E74" s="8">
        <f>SUM(E75)</f>
        <v>6701.62</v>
      </c>
      <c r="F74" s="8">
        <f>SUM(F75)</f>
        <v>5000</v>
      </c>
      <c r="G74" s="8">
        <v>5000</v>
      </c>
      <c r="H74" s="8">
        <v>3536.74</v>
      </c>
      <c r="I74" s="57">
        <f t="shared" si="9"/>
        <v>70.73479999999999</v>
      </c>
      <c r="J74" s="8">
        <f>J75</f>
        <v>5000</v>
      </c>
      <c r="K74" s="8">
        <f>K75</f>
        <v>5300</v>
      </c>
      <c r="L74" s="8">
        <f t="shared" si="11"/>
        <v>106</v>
      </c>
      <c r="M74" s="57">
        <f t="shared" si="12"/>
        <v>0.01380493518409403</v>
      </c>
      <c r="N74" s="57">
        <f t="shared" si="13"/>
        <v>0.01059958991034604</v>
      </c>
    </row>
    <row r="75" spans="1:14" ht="22.5">
      <c r="A75" s="265"/>
      <c r="B75" s="244"/>
      <c r="C75" s="6" t="s">
        <v>98</v>
      </c>
      <c r="D75" s="9" t="s">
        <v>30</v>
      </c>
      <c r="E75" s="4">
        <v>6701.62</v>
      </c>
      <c r="F75" s="8">
        <v>5000</v>
      </c>
      <c r="G75" s="4">
        <v>5000</v>
      </c>
      <c r="H75" s="4">
        <v>3536.74</v>
      </c>
      <c r="I75" s="57">
        <f t="shared" si="9"/>
        <v>70.73479999999999</v>
      </c>
      <c r="J75" s="4">
        <v>5000</v>
      </c>
      <c r="K75" s="4">
        <v>5300</v>
      </c>
      <c r="L75" s="8">
        <f t="shared" si="11"/>
        <v>106</v>
      </c>
      <c r="M75" s="57">
        <f t="shared" si="12"/>
        <v>0.01380493518409403</v>
      </c>
      <c r="N75" s="57">
        <f t="shared" si="13"/>
        <v>0.01059958991034604</v>
      </c>
    </row>
    <row r="76" spans="1:14" ht="36" customHeight="1">
      <c r="A76" s="265"/>
      <c r="B76" s="243">
        <v>75615</v>
      </c>
      <c r="C76" s="6"/>
      <c r="D76" s="7" t="s">
        <v>31</v>
      </c>
      <c r="E76" s="8" t="e">
        <f>E77+E78+E79+E80+E83+#REF!+#REF!+E81+E82</f>
        <v>#REF!</v>
      </c>
      <c r="F76" s="8" t="e">
        <f>F77+F78+F79+F80+F83+#REF!+#REF!+F81+F82</f>
        <v>#REF!</v>
      </c>
      <c r="G76" s="8" t="e">
        <f>G77+G78+G79+G80+G83+#REF!+#REF!+G81+G82</f>
        <v>#REF!</v>
      </c>
      <c r="H76" s="8" t="e">
        <f>H77+H78+H79+H80+H83+#REF!+#REF!+H81+H82</f>
        <v>#REF!</v>
      </c>
      <c r="I76" s="57" t="e">
        <f t="shared" si="9"/>
        <v>#REF!</v>
      </c>
      <c r="J76" s="8">
        <f>J77+J78+J79+J80+J81+J82+J83</f>
        <v>1488460</v>
      </c>
      <c r="K76" s="8">
        <f>K77+K78+K79+K80+K81+K82+K83</f>
        <v>1712600</v>
      </c>
      <c r="L76" s="8">
        <f t="shared" si="11"/>
        <v>115.05851685634818</v>
      </c>
      <c r="M76" s="57">
        <f t="shared" si="12"/>
        <v>4.1096187648233204</v>
      </c>
      <c r="N76" s="57">
        <f t="shared" si="13"/>
        <v>3.4250674868789868</v>
      </c>
    </row>
    <row r="77" spans="1:14" ht="12.75" customHeight="1">
      <c r="A77" s="265"/>
      <c r="B77" s="244"/>
      <c r="C77" s="6" t="s">
        <v>100</v>
      </c>
      <c r="D77" s="9" t="s">
        <v>32</v>
      </c>
      <c r="E77" s="4">
        <v>1190249.6</v>
      </c>
      <c r="F77" s="4">
        <v>1641704</v>
      </c>
      <c r="G77" s="4">
        <v>1441819</v>
      </c>
      <c r="H77" s="4">
        <v>827335.87</v>
      </c>
      <c r="I77" s="57">
        <f t="shared" si="9"/>
        <v>57.381396000468854</v>
      </c>
      <c r="J77" s="4">
        <v>1300000</v>
      </c>
      <c r="K77" s="4">
        <v>1500000</v>
      </c>
      <c r="L77" s="8">
        <f t="shared" si="11"/>
        <v>115.38461538461537</v>
      </c>
      <c r="M77" s="57">
        <f t="shared" si="12"/>
        <v>3.589283147864448</v>
      </c>
      <c r="N77" s="57">
        <f t="shared" si="13"/>
        <v>2.999883936890389</v>
      </c>
    </row>
    <row r="78" spans="1:14" ht="12.75">
      <c r="A78" s="265"/>
      <c r="B78" s="244"/>
      <c r="C78" s="6" t="s">
        <v>101</v>
      </c>
      <c r="D78" s="9" t="s">
        <v>33</v>
      </c>
      <c r="E78" s="4">
        <v>52357.9</v>
      </c>
      <c r="F78" s="4">
        <v>55000</v>
      </c>
      <c r="G78" s="4">
        <v>78863.5</v>
      </c>
      <c r="H78" s="4">
        <v>37164</v>
      </c>
      <c r="I78" s="57">
        <f t="shared" si="9"/>
        <v>47.124461886677615</v>
      </c>
      <c r="J78" s="4">
        <v>60000</v>
      </c>
      <c r="K78" s="4">
        <v>70000</v>
      </c>
      <c r="L78" s="8">
        <f t="shared" si="11"/>
        <v>116.66666666666667</v>
      </c>
      <c r="M78" s="57">
        <f t="shared" si="12"/>
        <v>0.16565922220912838</v>
      </c>
      <c r="N78" s="57">
        <f t="shared" si="13"/>
        <v>0.13999458372155146</v>
      </c>
    </row>
    <row r="79" spans="1:14" ht="12.75">
      <c r="A79" s="265"/>
      <c r="B79" s="244"/>
      <c r="C79" s="6" t="s">
        <v>102</v>
      </c>
      <c r="D79" s="9" t="s">
        <v>34</v>
      </c>
      <c r="E79" s="4">
        <v>103283</v>
      </c>
      <c r="F79" s="4">
        <v>110000</v>
      </c>
      <c r="G79" s="4">
        <v>110000</v>
      </c>
      <c r="H79" s="4">
        <v>79838</v>
      </c>
      <c r="I79" s="57">
        <f t="shared" si="9"/>
        <v>72.58</v>
      </c>
      <c r="J79" s="4">
        <v>110000</v>
      </c>
      <c r="K79" s="4">
        <v>120000</v>
      </c>
      <c r="L79" s="8">
        <f t="shared" si="11"/>
        <v>109.09090909090908</v>
      </c>
      <c r="M79" s="57">
        <f t="shared" si="12"/>
        <v>0.3037085740500687</v>
      </c>
      <c r="N79" s="57">
        <f t="shared" si="13"/>
        <v>0.23999071495123112</v>
      </c>
    </row>
    <row r="80" spans="1:14" ht="14.25" customHeight="1">
      <c r="A80" s="265"/>
      <c r="B80" s="244"/>
      <c r="C80" s="6" t="s">
        <v>103</v>
      </c>
      <c r="D80" s="9" t="s">
        <v>35</v>
      </c>
      <c r="E80" s="4">
        <v>7139</v>
      </c>
      <c r="F80" s="4">
        <v>10000</v>
      </c>
      <c r="G80" s="4">
        <v>15000</v>
      </c>
      <c r="H80" s="4">
        <v>13025</v>
      </c>
      <c r="I80" s="57">
        <f t="shared" si="9"/>
        <v>86.83333333333333</v>
      </c>
      <c r="J80" s="4">
        <v>17000</v>
      </c>
      <c r="K80" s="4">
        <v>20000</v>
      </c>
      <c r="L80" s="8">
        <f t="shared" si="11"/>
        <v>117.64705882352942</v>
      </c>
      <c r="M80" s="57">
        <f t="shared" si="12"/>
        <v>0.04693677962591971</v>
      </c>
      <c r="N80" s="57">
        <f t="shared" si="13"/>
        <v>0.03999845249187185</v>
      </c>
    </row>
    <row r="81" spans="1:14" ht="23.25" customHeight="1">
      <c r="A81" s="265"/>
      <c r="B81" s="244"/>
      <c r="C81" s="6" t="s">
        <v>105</v>
      </c>
      <c r="D81" s="9" t="s">
        <v>290</v>
      </c>
      <c r="E81" s="4"/>
      <c r="F81" s="4"/>
      <c r="G81" s="4">
        <v>170</v>
      </c>
      <c r="H81" s="4">
        <v>218</v>
      </c>
      <c r="I81" s="57">
        <f t="shared" si="9"/>
        <v>128.23529411764707</v>
      </c>
      <c r="J81" s="4">
        <v>400</v>
      </c>
      <c r="K81" s="4">
        <v>500</v>
      </c>
      <c r="L81" s="8">
        <f t="shared" si="11"/>
        <v>125</v>
      </c>
      <c r="M81" s="57">
        <f t="shared" si="12"/>
        <v>0.0011043948147275225</v>
      </c>
      <c r="N81" s="57">
        <f t="shared" si="13"/>
        <v>0.0009999613122967962</v>
      </c>
    </row>
    <row r="82" spans="1:14" ht="36" customHeight="1">
      <c r="A82" s="265"/>
      <c r="B82" s="244"/>
      <c r="C82" s="6" t="s">
        <v>323</v>
      </c>
      <c r="D82" s="9" t="s">
        <v>333</v>
      </c>
      <c r="E82" s="4">
        <v>11.6</v>
      </c>
      <c r="F82" s="4">
        <v>100</v>
      </c>
      <c r="G82" s="4">
        <v>100</v>
      </c>
      <c r="H82" s="4">
        <v>46.4</v>
      </c>
      <c r="I82" s="57">
        <f t="shared" si="9"/>
        <v>46.4</v>
      </c>
      <c r="J82" s="4">
        <v>60</v>
      </c>
      <c r="K82" s="4">
        <v>100</v>
      </c>
      <c r="L82" s="8">
        <f t="shared" si="11"/>
        <v>166.66666666666669</v>
      </c>
      <c r="M82" s="57">
        <f t="shared" si="12"/>
        <v>0.00016565922220912837</v>
      </c>
      <c r="N82" s="57">
        <f t="shared" si="13"/>
        <v>0.00019999226245935928</v>
      </c>
    </row>
    <row r="83" spans="1:14" ht="24.75" customHeight="1">
      <c r="A83" s="265"/>
      <c r="B83" s="244"/>
      <c r="C83" s="6" t="s">
        <v>99</v>
      </c>
      <c r="D83" s="9" t="s">
        <v>39</v>
      </c>
      <c r="E83" s="4">
        <v>4817</v>
      </c>
      <c r="F83" s="4">
        <v>10000</v>
      </c>
      <c r="G83" s="4">
        <v>10000</v>
      </c>
      <c r="H83" s="4">
        <v>896</v>
      </c>
      <c r="I83" s="57">
        <f t="shared" si="9"/>
        <v>8.959999999999999</v>
      </c>
      <c r="J83" s="4">
        <v>1000</v>
      </c>
      <c r="K83" s="4">
        <v>2000</v>
      </c>
      <c r="L83" s="8">
        <f t="shared" si="11"/>
        <v>200</v>
      </c>
      <c r="M83" s="57">
        <f t="shared" si="12"/>
        <v>0.0027609870368188066</v>
      </c>
      <c r="N83" s="57">
        <f t="shared" si="13"/>
        <v>0.003999845249187185</v>
      </c>
    </row>
    <row r="84" spans="1:14" ht="45" customHeight="1">
      <c r="A84" s="265"/>
      <c r="B84" s="243">
        <v>75616</v>
      </c>
      <c r="C84" s="6"/>
      <c r="D84" s="7" t="s">
        <v>40</v>
      </c>
      <c r="E84" s="8" t="e">
        <f>E85+E86+E87+E88+E89+E90+E91+E92+E93+E94+#REF!+E96+E95+#REF!</f>
        <v>#REF!</v>
      </c>
      <c r="F84" s="8" t="e">
        <f>F85+F86+F87+F88+F89+F90+F91+F92+F93+F94+#REF!+F96+F95</f>
        <v>#REF!</v>
      </c>
      <c r="G84" s="8" t="e">
        <f>G85+G86+G87+G88+G89+G90+G91+G92+G93+G94+#REF!+G96+G95</f>
        <v>#REF!</v>
      </c>
      <c r="H84" s="8" t="e">
        <f>H85+H86+H87+H88+H89+H90+H91+H92+H93+H94+#REF!+H96+H95</f>
        <v>#REF!</v>
      </c>
      <c r="I84" s="57" t="e">
        <f t="shared" si="9"/>
        <v>#REF!</v>
      </c>
      <c r="J84" s="8">
        <f>J85+J86+J87+J88+J89+J90+J91+J92+J93+J94++J96+J95</f>
        <v>2161250</v>
      </c>
      <c r="K84" s="8">
        <f>K85+K86+K87+K88+K89+K90+K91+K92+K93+K94++K96+K95</f>
        <v>3449250</v>
      </c>
      <c r="L84" s="8">
        <f t="shared" si="11"/>
        <v>159.59514170040484</v>
      </c>
      <c r="M84" s="57">
        <f t="shared" si="12"/>
        <v>5.967183233324645</v>
      </c>
      <c r="N84" s="57">
        <f t="shared" si="13"/>
        <v>6.89823311287945</v>
      </c>
    </row>
    <row r="85" spans="1:14" ht="14.25" customHeight="1">
      <c r="A85" s="265"/>
      <c r="B85" s="244"/>
      <c r="C85" s="6" t="s">
        <v>100</v>
      </c>
      <c r="D85" s="9" t="s">
        <v>32</v>
      </c>
      <c r="E85" s="4">
        <v>1160742.83</v>
      </c>
      <c r="F85" s="4">
        <v>1300000</v>
      </c>
      <c r="G85" s="4">
        <v>1297000</v>
      </c>
      <c r="H85" s="4">
        <v>910670.34</v>
      </c>
      <c r="I85" s="57">
        <f t="shared" si="9"/>
        <v>70.21359599074788</v>
      </c>
      <c r="J85" s="4">
        <v>130000</v>
      </c>
      <c r="K85" s="4">
        <v>1300000</v>
      </c>
      <c r="L85" s="8">
        <f t="shared" si="11"/>
        <v>1000</v>
      </c>
      <c r="M85" s="57">
        <f t="shared" si="12"/>
        <v>0.3589283147864448</v>
      </c>
      <c r="N85" s="57">
        <f t="shared" si="13"/>
        <v>2.5998994119716703</v>
      </c>
    </row>
    <row r="86" spans="1:14" ht="12.75">
      <c r="A86" s="265"/>
      <c r="B86" s="244"/>
      <c r="C86" s="6" t="s">
        <v>101</v>
      </c>
      <c r="D86" s="9" t="s">
        <v>33</v>
      </c>
      <c r="E86" s="4">
        <v>1492915.21</v>
      </c>
      <c r="F86" s="4">
        <v>1500000</v>
      </c>
      <c r="G86" s="4">
        <v>1700000</v>
      </c>
      <c r="H86" s="4">
        <v>1275019.15</v>
      </c>
      <c r="I86" s="57">
        <f t="shared" si="9"/>
        <v>75.00112647058823</v>
      </c>
      <c r="J86" s="4">
        <v>1700000</v>
      </c>
      <c r="K86" s="4">
        <v>1780000</v>
      </c>
      <c r="L86" s="8">
        <f t="shared" si="11"/>
        <v>104.70588235294119</v>
      </c>
      <c r="M86" s="57">
        <f t="shared" si="12"/>
        <v>4.693677962591971</v>
      </c>
      <c r="N86" s="57">
        <f t="shared" si="13"/>
        <v>3.559862271776595</v>
      </c>
    </row>
    <row r="87" spans="1:14" ht="12.75">
      <c r="A87" s="265"/>
      <c r="B87" s="244"/>
      <c r="C87" s="6" t="s">
        <v>102</v>
      </c>
      <c r="D87" s="9" t="s">
        <v>34</v>
      </c>
      <c r="E87" s="4">
        <v>12307.52</v>
      </c>
      <c r="F87" s="4">
        <v>14000</v>
      </c>
      <c r="G87" s="4">
        <v>14000</v>
      </c>
      <c r="H87" s="4">
        <v>14381.05</v>
      </c>
      <c r="I87" s="57">
        <f t="shared" si="9"/>
        <v>102.72178571428572</v>
      </c>
      <c r="J87" s="4">
        <v>19000</v>
      </c>
      <c r="K87" s="4">
        <v>20000</v>
      </c>
      <c r="L87" s="8">
        <f t="shared" si="11"/>
        <v>105.26315789473684</v>
      </c>
      <c r="M87" s="57">
        <f t="shared" si="12"/>
        <v>0.05245875369955732</v>
      </c>
      <c r="N87" s="57">
        <f t="shared" si="13"/>
        <v>0.03999845249187185</v>
      </c>
    </row>
    <row r="88" spans="1:14" ht="14.25" customHeight="1">
      <c r="A88" s="265"/>
      <c r="B88" s="244"/>
      <c r="C88" s="6" t="s">
        <v>103</v>
      </c>
      <c r="D88" s="9" t="s">
        <v>35</v>
      </c>
      <c r="E88" s="4">
        <v>91476.5</v>
      </c>
      <c r="F88" s="4">
        <v>125000</v>
      </c>
      <c r="G88" s="4">
        <v>125000</v>
      </c>
      <c r="H88" s="4">
        <v>52290.9</v>
      </c>
      <c r="I88" s="57">
        <f t="shared" si="9"/>
        <v>41.83272</v>
      </c>
      <c r="J88" s="4">
        <v>65000</v>
      </c>
      <c r="K88" s="4">
        <v>70000</v>
      </c>
      <c r="L88" s="8">
        <f t="shared" si="11"/>
        <v>107.6923076923077</v>
      </c>
      <c r="M88" s="57">
        <f t="shared" si="12"/>
        <v>0.1794641573932224</v>
      </c>
      <c r="N88" s="57">
        <f t="shared" si="13"/>
        <v>0.13999458372155146</v>
      </c>
    </row>
    <row r="89" spans="1:14" ht="15" customHeight="1">
      <c r="A89" s="265"/>
      <c r="B89" s="244"/>
      <c r="C89" s="6" t="s">
        <v>106</v>
      </c>
      <c r="D89" s="9" t="s">
        <v>41</v>
      </c>
      <c r="E89" s="4">
        <v>2498.3</v>
      </c>
      <c r="F89" s="4">
        <v>1100</v>
      </c>
      <c r="G89" s="4">
        <v>1100</v>
      </c>
      <c r="H89" s="4">
        <v>635.9</v>
      </c>
      <c r="I89" s="57">
        <f t="shared" si="9"/>
        <v>57.80909090909091</v>
      </c>
      <c r="J89" s="4">
        <v>1000</v>
      </c>
      <c r="K89" s="4">
        <v>1500</v>
      </c>
      <c r="L89" s="8">
        <f t="shared" si="11"/>
        <v>150</v>
      </c>
      <c r="M89" s="57">
        <f t="shared" si="12"/>
        <v>0.0027609870368188066</v>
      </c>
      <c r="N89" s="57">
        <f t="shared" si="13"/>
        <v>0.0029998839368903887</v>
      </c>
    </row>
    <row r="90" spans="1:14" ht="13.5" customHeight="1">
      <c r="A90" s="265"/>
      <c r="B90" s="244"/>
      <c r="C90" s="6" t="s">
        <v>107</v>
      </c>
      <c r="D90" s="9" t="s">
        <v>42</v>
      </c>
      <c r="E90" s="4">
        <v>4380</v>
      </c>
      <c r="F90" s="4">
        <v>5000</v>
      </c>
      <c r="G90" s="4">
        <v>5000</v>
      </c>
      <c r="H90" s="4">
        <v>3360</v>
      </c>
      <c r="I90" s="57">
        <f t="shared" si="9"/>
        <v>67.2</v>
      </c>
      <c r="J90" s="4">
        <v>4500</v>
      </c>
      <c r="K90" s="4">
        <v>5000</v>
      </c>
      <c r="L90" s="8">
        <f t="shared" si="11"/>
        <v>111.11111111111111</v>
      </c>
      <c r="M90" s="57">
        <f t="shared" si="12"/>
        <v>0.012424441665684629</v>
      </c>
      <c r="N90" s="57">
        <f t="shared" si="13"/>
        <v>0.009999613122967963</v>
      </c>
    </row>
    <row r="91" spans="1:14" ht="14.25" customHeight="1">
      <c r="A91" s="265"/>
      <c r="B91" s="244"/>
      <c r="C91" s="6" t="s">
        <v>108</v>
      </c>
      <c r="D91" s="9" t="s">
        <v>43</v>
      </c>
      <c r="E91" s="4">
        <v>5196</v>
      </c>
      <c r="F91" s="4">
        <v>5000</v>
      </c>
      <c r="G91" s="4">
        <v>5000</v>
      </c>
      <c r="H91" s="4">
        <v>4328</v>
      </c>
      <c r="I91" s="57">
        <f t="shared" si="9"/>
        <v>86.56</v>
      </c>
      <c r="J91" s="4">
        <v>6000</v>
      </c>
      <c r="K91" s="4">
        <v>6500</v>
      </c>
      <c r="L91" s="8">
        <f t="shared" si="11"/>
        <v>108.33333333333333</v>
      </c>
      <c r="M91" s="57">
        <f t="shared" si="12"/>
        <v>0.016565922220912837</v>
      </c>
      <c r="N91" s="57">
        <f t="shared" si="13"/>
        <v>0.012999497059858353</v>
      </c>
    </row>
    <row r="92" spans="1:14" ht="10.5" customHeight="1">
      <c r="A92" s="265"/>
      <c r="B92" s="244"/>
      <c r="C92" s="6" t="s">
        <v>104</v>
      </c>
      <c r="D92" s="9" t="s">
        <v>36</v>
      </c>
      <c r="E92" s="4">
        <v>776.08</v>
      </c>
      <c r="F92" s="4">
        <v>1000</v>
      </c>
      <c r="G92" s="4">
        <v>1000</v>
      </c>
      <c r="H92" s="4">
        <v>72.76</v>
      </c>
      <c r="I92" s="57">
        <f t="shared" si="9"/>
        <v>7.276000000000001</v>
      </c>
      <c r="J92" s="4">
        <v>100</v>
      </c>
      <c r="K92" s="4">
        <v>150</v>
      </c>
      <c r="L92" s="8">
        <f t="shared" si="11"/>
        <v>150</v>
      </c>
      <c r="M92" s="57">
        <f t="shared" si="12"/>
        <v>0.0002760987036818806</v>
      </c>
      <c r="N92" s="57">
        <f t="shared" si="13"/>
        <v>0.0002999883936890389</v>
      </c>
    </row>
    <row r="93" spans="1:14" ht="25.5" customHeight="1">
      <c r="A93" s="270"/>
      <c r="B93" s="244"/>
      <c r="C93" s="6" t="s">
        <v>89</v>
      </c>
      <c r="D93" s="9" t="s">
        <v>19</v>
      </c>
      <c r="E93" s="4">
        <v>34</v>
      </c>
      <c r="F93" s="4">
        <v>100</v>
      </c>
      <c r="G93" s="4">
        <v>100</v>
      </c>
      <c r="H93" s="4"/>
      <c r="I93" s="57">
        <f t="shared" si="9"/>
        <v>0</v>
      </c>
      <c r="J93" s="4">
        <v>50</v>
      </c>
      <c r="K93" s="4">
        <v>100</v>
      </c>
      <c r="L93" s="8">
        <f t="shared" si="11"/>
        <v>200</v>
      </c>
      <c r="M93" s="57">
        <f t="shared" si="12"/>
        <v>0.0001380493518409403</v>
      </c>
      <c r="N93" s="57">
        <f t="shared" si="13"/>
        <v>0.00019999226245935928</v>
      </c>
    </row>
    <row r="94" spans="1:14" ht="22.5">
      <c r="A94" s="270"/>
      <c r="B94" s="244"/>
      <c r="C94" s="6" t="s">
        <v>105</v>
      </c>
      <c r="D94" s="9" t="s">
        <v>37</v>
      </c>
      <c r="E94" s="4">
        <v>136981.68</v>
      </c>
      <c r="F94" s="4">
        <v>150000</v>
      </c>
      <c r="G94" s="4">
        <v>150000</v>
      </c>
      <c r="H94" s="4">
        <v>136695.76</v>
      </c>
      <c r="I94" s="57">
        <f t="shared" si="9"/>
        <v>91.13050666666668</v>
      </c>
      <c r="J94" s="4">
        <v>180000</v>
      </c>
      <c r="K94" s="4">
        <v>200000</v>
      </c>
      <c r="L94" s="8">
        <f t="shared" si="11"/>
        <v>111.11111111111111</v>
      </c>
      <c r="M94" s="57">
        <f t="shared" si="12"/>
        <v>0.4969776666273852</v>
      </c>
      <c r="N94" s="57">
        <f t="shared" si="13"/>
        <v>0.3999845249187185</v>
      </c>
    </row>
    <row r="95" spans="1:14" ht="35.25" customHeight="1">
      <c r="A95" s="270"/>
      <c r="B95" s="244"/>
      <c r="C95" s="6" t="s">
        <v>323</v>
      </c>
      <c r="D95" s="9" t="s">
        <v>333</v>
      </c>
      <c r="E95" s="4">
        <v>3402.3</v>
      </c>
      <c r="F95" s="4">
        <v>3000</v>
      </c>
      <c r="G95" s="4">
        <v>3000</v>
      </c>
      <c r="H95" s="4">
        <v>4234.14</v>
      </c>
      <c r="I95" s="57">
        <f t="shared" si="9"/>
        <v>141.138</v>
      </c>
      <c r="J95" s="4">
        <v>5600</v>
      </c>
      <c r="K95" s="4">
        <v>6000</v>
      </c>
      <c r="L95" s="8">
        <f t="shared" si="11"/>
        <v>107.14285714285714</v>
      </c>
      <c r="M95" s="57">
        <f t="shared" si="12"/>
        <v>0.015461527406185317</v>
      </c>
      <c r="N95" s="57">
        <f t="shared" si="13"/>
        <v>0.011999535747561555</v>
      </c>
    </row>
    <row r="96" spans="1:14" ht="24" customHeight="1">
      <c r="A96" s="270"/>
      <c r="B96" s="244"/>
      <c r="C96" s="6" t="s">
        <v>99</v>
      </c>
      <c r="D96" s="9" t="s">
        <v>44</v>
      </c>
      <c r="E96" s="4">
        <v>40923.01</v>
      </c>
      <c r="F96" s="4">
        <v>30000</v>
      </c>
      <c r="G96" s="4">
        <v>30000</v>
      </c>
      <c r="H96" s="4">
        <v>37061.47</v>
      </c>
      <c r="I96" s="57">
        <f t="shared" si="9"/>
        <v>123.53823333333334</v>
      </c>
      <c r="J96" s="4">
        <v>50000</v>
      </c>
      <c r="K96" s="4">
        <v>60000</v>
      </c>
      <c r="L96" s="8">
        <f t="shared" si="11"/>
        <v>120</v>
      </c>
      <c r="M96" s="57">
        <f t="shared" si="12"/>
        <v>0.1380493518409403</v>
      </c>
      <c r="N96" s="57">
        <f t="shared" si="13"/>
        <v>0.11999535747561556</v>
      </c>
    </row>
    <row r="97" spans="1:14" ht="33.75" customHeight="1">
      <c r="A97" s="270"/>
      <c r="B97" s="243">
        <v>75618</v>
      </c>
      <c r="C97" s="6"/>
      <c r="D97" s="7" t="s">
        <v>45</v>
      </c>
      <c r="E97" s="8">
        <f aca="true" t="shared" si="14" ref="E97:K97">E98+E100+E99+E101</f>
        <v>201068.13999999998</v>
      </c>
      <c r="F97" s="8">
        <f t="shared" si="14"/>
        <v>216659.11</v>
      </c>
      <c r="G97" s="8">
        <f t="shared" si="14"/>
        <v>216659.11</v>
      </c>
      <c r="H97" s="8">
        <f t="shared" si="14"/>
        <v>159730.46</v>
      </c>
      <c r="I97" s="57">
        <f t="shared" si="9"/>
        <v>73.72432204673969</v>
      </c>
      <c r="J97" s="8">
        <f t="shared" si="14"/>
        <v>197100</v>
      </c>
      <c r="K97" s="8">
        <f t="shared" si="14"/>
        <v>173910.83000000002</v>
      </c>
      <c r="L97" s="8">
        <f t="shared" si="11"/>
        <v>88.23481988838154</v>
      </c>
      <c r="M97" s="57">
        <f t="shared" si="12"/>
        <v>0.5441905449569867</v>
      </c>
      <c r="N97" s="57">
        <f t="shared" si="13"/>
        <v>0.3478082035788501</v>
      </c>
    </row>
    <row r="98" spans="1:14" ht="13.5" customHeight="1">
      <c r="A98" s="270"/>
      <c r="B98" s="247"/>
      <c r="C98" s="6" t="s">
        <v>109</v>
      </c>
      <c r="D98" s="9" t="s">
        <v>46</v>
      </c>
      <c r="E98" s="4">
        <v>27418</v>
      </c>
      <c r="F98" s="4">
        <v>35000</v>
      </c>
      <c r="G98" s="4">
        <v>35000</v>
      </c>
      <c r="H98" s="4">
        <v>28595.3</v>
      </c>
      <c r="I98" s="57">
        <f t="shared" si="9"/>
        <v>81.70085714285715</v>
      </c>
      <c r="J98" s="4">
        <v>37000</v>
      </c>
      <c r="K98" s="4">
        <v>40000</v>
      </c>
      <c r="L98" s="8">
        <f t="shared" si="11"/>
        <v>108.10810810810811</v>
      </c>
      <c r="M98" s="57">
        <f t="shared" si="12"/>
        <v>0.10215652036229582</v>
      </c>
      <c r="N98" s="57">
        <f t="shared" si="13"/>
        <v>0.0799969049837437</v>
      </c>
    </row>
    <row r="99" spans="1:14" ht="15" customHeight="1">
      <c r="A99" s="270"/>
      <c r="B99" s="247"/>
      <c r="C99" s="6" t="s">
        <v>120</v>
      </c>
      <c r="D99" s="9" t="s">
        <v>126</v>
      </c>
      <c r="E99" s="4">
        <v>54567.6</v>
      </c>
      <c r="F99" s="4">
        <v>65000</v>
      </c>
      <c r="G99" s="4">
        <v>65000</v>
      </c>
      <c r="H99" s="4">
        <v>7478.35</v>
      </c>
      <c r="I99" s="57">
        <f t="shared" si="9"/>
        <v>11.505153846153847</v>
      </c>
      <c r="J99" s="4">
        <v>9500</v>
      </c>
      <c r="K99" s="4">
        <v>10000</v>
      </c>
      <c r="L99" s="8">
        <f t="shared" si="11"/>
        <v>105.26315789473684</v>
      </c>
      <c r="M99" s="57">
        <f t="shared" si="12"/>
        <v>0.02622937684977866</v>
      </c>
      <c r="N99" s="57">
        <f t="shared" si="13"/>
        <v>0.019999226245935926</v>
      </c>
    </row>
    <row r="100" spans="1:14" ht="26.25" customHeight="1">
      <c r="A100" s="270"/>
      <c r="B100" s="244"/>
      <c r="C100" s="6" t="s">
        <v>113</v>
      </c>
      <c r="D100" s="9" t="s">
        <v>64</v>
      </c>
      <c r="E100" s="4">
        <v>118636.54</v>
      </c>
      <c r="F100" s="4">
        <v>116159.11</v>
      </c>
      <c r="G100" s="4">
        <v>116159.11</v>
      </c>
      <c r="H100" s="4">
        <v>123210.81</v>
      </c>
      <c r="I100" s="57">
        <f t="shared" si="9"/>
        <v>106.0707248876132</v>
      </c>
      <c r="J100" s="207">
        <v>150000</v>
      </c>
      <c r="K100" s="4">
        <v>123210.83</v>
      </c>
      <c r="L100" s="8">
        <f t="shared" si="11"/>
        <v>82.14055333333333</v>
      </c>
      <c r="M100" s="57">
        <f t="shared" si="12"/>
        <v>0.4141480555228209</v>
      </c>
      <c r="N100" s="57">
        <f t="shared" si="13"/>
        <v>0.24641212651195496</v>
      </c>
    </row>
    <row r="101" spans="1:14" ht="22.5" customHeight="1">
      <c r="A101" s="270"/>
      <c r="B101" s="244"/>
      <c r="C101" s="6" t="s">
        <v>89</v>
      </c>
      <c r="D101" s="9" t="s">
        <v>19</v>
      </c>
      <c r="E101" s="4">
        <v>446</v>
      </c>
      <c r="F101" s="4">
        <v>500</v>
      </c>
      <c r="G101" s="4">
        <v>500</v>
      </c>
      <c r="H101" s="4">
        <v>446</v>
      </c>
      <c r="I101" s="57">
        <f t="shared" si="9"/>
        <v>89.2</v>
      </c>
      <c r="J101" s="207">
        <v>600</v>
      </c>
      <c r="K101" s="4">
        <v>700</v>
      </c>
      <c r="L101" s="8">
        <f t="shared" si="11"/>
        <v>116.66666666666667</v>
      </c>
      <c r="M101" s="57">
        <f t="shared" si="12"/>
        <v>0.0016565922220912836</v>
      </c>
      <c r="N101" s="57">
        <f t="shared" si="13"/>
        <v>0.0013999458372155147</v>
      </c>
    </row>
    <row r="102" spans="1:14" ht="33" customHeight="1">
      <c r="A102" s="270"/>
      <c r="B102" s="243">
        <v>75621</v>
      </c>
      <c r="C102" s="6"/>
      <c r="D102" s="7" t="s">
        <v>429</v>
      </c>
      <c r="E102" s="192">
        <f aca="true" t="shared" si="15" ref="E102:K102">E103+E104</f>
        <v>3008539.96</v>
      </c>
      <c r="F102" s="8">
        <f t="shared" si="15"/>
        <v>3311794</v>
      </c>
      <c r="G102" s="8">
        <f t="shared" si="15"/>
        <v>3311794</v>
      </c>
      <c r="H102" s="8">
        <f t="shared" si="15"/>
        <v>2492881.35</v>
      </c>
      <c r="I102" s="57">
        <f t="shared" si="9"/>
        <v>75.27283852800024</v>
      </c>
      <c r="J102" s="209">
        <f t="shared" si="15"/>
        <v>3321794</v>
      </c>
      <c r="K102" s="222">
        <f t="shared" si="15"/>
        <v>3836170</v>
      </c>
      <c r="L102" s="8">
        <f t="shared" si="11"/>
        <v>115.48488557689008</v>
      </c>
      <c r="M102" s="57">
        <f t="shared" si="12"/>
        <v>9.17143017298249</v>
      </c>
      <c r="N102" s="57">
        <f t="shared" si="13"/>
        <v>7.672043174787202</v>
      </c>
    </row>
    <row r="103" spans="1:14" ht="15.75" customHeight="1">
      <c r="A103" s="270"/>
      <c r="B103" s="268"/>
      <c r="C103" s="6" t="s">
        <v>110</v>
      </c>
      <c r="D103" s="9" t="s">
        <v>48</v>
      </c>
      <c r="E103" s="4">
        <v>2986453</v>
      </c>
      <c r="F103" s="4">
        <v>3286794</v>
      </c>
      <c r="G103" s="4">
        <v>3286794</v>
      </c>
      <c r="H103" s="4">
        <v>2466654</v>
      </c>
      <c r="I103" s="57">
        <f t="shared" si="9"/>
        <v>75.04741702704824</v>
      </c>
      <c r="J103" s="4">
        <v>3286794</v>
      </c>
      <c r="K103" s="4">
        <v>3796170</v>
      </c>
      <c r="L103" s="8">
        <f t="shared" si="11"/>
        <v>115.49765516183857</v>
      </c>
      <c r="M103" s="57">
        <f aca="true" t="shared" si="16" ref="M103:M133">(J103/$J$242)*100</f>
        <v>9.074795626693831</v>
      </c>
      <c r="N103" s="57">
        <f aca="true" t="shared" si="17" ref="N103:N133">(K103/$K$242)*100</f>
        <v>7.5920462698034585</v>
      </c>
    </row>
    <row r="104" spans="1:14" ht="16.5" customHeight="1">
      <c r="A104" s="270"/>
      <c r="B104" s="271"/>
      <c r="C104" s="6" t="s">
        <v>111</v>
      </c>
      <c r="D104" s="9" t="s">
        <v>49</v>
      </c>
      <c r="E104" s="4">
        <v>22086.96</v>
      </c>
      <c r="F104" s="4">
        <v>25000</v>
      </c>
      <c r="G104" s="4">
        <v>25000</v>
      </c>
      <c r="H104" s="4">
        <v>26227.35</v>
      </c>
      <c r="I104" s="57">
        <f t="shared" si="9"/>
        <v>104.90939999999999</v>
      </c>
      <c r="J104" s="4">
        <v>35000</v>
      </c>
      <c r="K104" s="4">
        <v>40000</v>
      </c>
      <c r="L104" s="8">
        <f t="shared" si="11"/>
        <v>114.28571428571428</v>
      </c>
      <c r="M104" s="57">
        <f t="shared" si="16"/>
        <v>0.09663454628865822</v>
      </c>
      <c r="N104" s="57">
        <f t="shared" si="17"/>
        <v>0.0799969049837437</v>
      </c>
    </row>
    <row r="105" spans="1:14" ht="17.25" customHeight="1">
      <c r="A105" s="265">
        <v>758</v>
      </c>
      <c r="B105" s="197"/>
      <c r="C105" s="6"/>
      <c r="D105" s="7" t="s">
        <v>50</v>
      </c>
      <c r="E105" s="192">
        <f aca="true" t="shared" si="18" ref="E105:K105">E106+E108+E110+E115</f>
        <v>11343297.51</v>
      </c>
      <c r="F105" s="8">
        <f t="shared" si="18"/>
        <v>11684204</v>
      </c>
      <c r="G105" s="8">
        <f t="shared" si="18"/>
        <v>11970804.63</v>
      </c>
      <c r="H105" s="8">
        <f t="shared" si="18"/>
        <v>9752719.43</v>
      </c>
      <c r="I105" s="57">
        <f t="shared" si="9"/>
        <v>81.4708762814384</v>
      </c>
      <c r="J105" s="8">
        <f t="shared" si="18"/>
        <v>11968404.63</v>
      </c>
      <c r="K105" s="8">
        <f t="shared" si="18"/>
        <v>12885220</v>
      </c>
      <c r="L105" s="8">
        <f t="shared" si="11"/>
        <v>107.66029724381067</v>
      </c>
      <c r="M105" s="57">
        <f t="shared" si="16"/>
        <v>33.04461003483218</v>
      </c>
      <c r="N105" s="57">
        <f t="shared" si="17"/>
        <v>25.76944300086585</v>
      </c>
    </row>
    <row r="106" spans="1:14" ht="21">
      <c r="A106" s="265"/>
      <c r="B106" s="197">
        <v>75801</v>
      </c>
      <c r="C106" s="6"/>
      <c r="D106" s="7" t="s">
        <v>51</v>
      </c>
      <c r="E106" s="192">
        <f aca="true" t="shared" si="19" ref="E106:K106">E107</f>
        <v>7690349</v>
      </c>
      <c r="F106" s="8">
        <f t="shared" si="19"/>
        <v>7544070</v>
      </c>
      <c r="G106" s="8">
        <f t="shared" si="19"/>
        <v>7838580</v>
      </c>
      <c r="H106" s="8">
        <f t="shared" si="19"/>
        <v>6632648</v>
      </c>
      <c r="I106" s="57">
        <f t="shared" si="9"/>
        <v>84.61542779431988</v>
      </c>
      <c r="J106" s="8">
        <f t="shared" si="19"/>
        <v>7838580</v>
      </c>
      <c r="K106" s="8">
        <f t="shared" si="19"/>
        <v>8032524</v>
      </c>
      <c r="L106" s="8">
        <f t="shared" si="11"/>
        <v>102.47422364765046</v>
      </c>
      <c r="M106" s="57">
        <f t="shared" si="16"/>
        <v>21.64221776706716</v>
      </c>
      <c r="N106" s="57">
        <f t="shared" si="17"/>
        <v>16.06442648019102</v>
      </c>
    </row>
    <row r="107" spans="1:14" ht="12.75">
      <c r="A107" s="265"/>
      <c r="B107" s="197"/>
      <c r="C107" s="6">
        <v>2920</v>
      </c>
      <c r="D107" s="9" t="s">
        <v>52</v>
      </c>
      <c r="E107" s="4">
        <v>7690349</v>
      </c>
      <c r="F107" s="4">
        <v>7544070</v>
      </c>
      <c r="G107" s="4">
        <v>7838580</v>
      </c>
      <c r="H107" s="4">
        <v>6632648</v>
      </c>
      <c r="I107" s="57">
        <f t="shared" si="9"/>
        <v>84.61542779431988</v>
      </c>
      <c r="J107" s="4">
        <v>7838580</v>
      </c>
      <c r="K107" s="4">
        <v>8032524</v>
      </c>
      <c r="L107" s="8">
        <f t="shared" si="11"/>
        <v>102.47422364765046</v>
      </c>
      <c r="M107" s="57">
        <f t="shared" si="16"/>
        <v>21.64221776706716</v>
      </c>
      <c r="N107" s="57">
        <f t="shared" si="17"/>
        <v>16.06442648019102</v>
      </c>
    </row>
    <row r="108" spans="1:14" ht="24.75" customHeight="1">
      <c r="A108" s="265"/>
      <c r="B108" s="197">
        <v>75807</v>
      </c>
      <c r="C108" s="6"/>
      <c r="D108" s="7" t="s">
        <v>53</v>
      </c>
      <c r="E108" s="192">
        <f aca="true" t="shared" si="20" ref="E108:K108">E109</f>
        <v>3527643</v>
      </c>
      <c r="F108" s="8">
        <f t="shared" si="20"/>
        <v>3994517</v>
      </c>
      <c r="G108" s="8">
        <f t="shared" si="20"/>
        <v>3994517</v>
      </c>
      <c r="H108" s="8">
        <f t="shared" si="20"/>
        <v>2995884</v>
      </c>
      <c r="I108" s="57">
        <f t="shared" si="9"/>
        <v>74.9999061213158</v>
      </c>
      <c r="J108" s="8">
        <f t="shared" si="20"/>
        <v>3994517</v>
      </c>
      <c r="K108" s="8">
        <f t="shared" si="20"/>
        <v>4726601</v>
      </c>
      <c r="L108" s="8">
        <f t="shared" si="11"/>
        <v>118.32722203961079</v>
      </c>
      <c r="M108" s="57">
        <f t="shared" si="16"/>
        <v>11.028809655352347</v>
      </c>
      <c r="N108" s="57">
        <f t="shared" si="17"/>
        <v>9.4528362773267</v>
      </c>
    </row>
    <row r="109" spans="1:14" ht="12.75">
      <c r="A109" s="265"/>
      <c r="B109" s="197"/>
      <c r="C109" s="6">
        <v>2920</v>
      </c>
      <c r="D109" s="9" t="s">
        <v>52</v>
      </c>
      <c r="E109" s="4">
        <v>3527643</v>
      </c>
      <c r="F109" s="4">
        <v>3994517</v>
      </c>
      <c r="G109" s="4">
        <v>3994517</v>
      </c>
      <c r="H109" s="4">
        <v>2995884</v>
      </c>
      <c r="I109" s="57">
        <f t="shared" si="9"/>
        <v>74.9999061213158</v>
      </c>
      <c r="J109" s="4">
        <v>3994517</v>
      </c>
      <c r="K109" s="4">
        <v>4726601</v>
      </c>
      <c r="L109" s="8">
        <f t="shared" si="11"/>
        <v>118.32722203961079</v>
      </c>
      <c r="M109" s="57">
        <f t="shared" si="16"/>
        <v>11.028809655352347</v>
      </c>
      <c r="N109" s="57">
        <f t="shared" si="17"/>
        <v>9.4528362773267</v>
      </c>
    </row>
    <row r="110" spans="1:14" ht="15" customHeight="1">
      <c r="A110" s="265"/>
      <c r="B110" s="197">
        <v>75814</v>
      </c>
      <c r="C110" s="6"/>
      <c r="D110" s="7" t="s">
        <v>54</v>
      </c>
      <c r="E110" s="8">
        <f aca="true" t="shared" si="21" ref="E110:K110">E111+E112+E113+E114</f>
        <v>97360.51000000001</v>
      </c>
      <c r="F110" s="8">
        <f t="shared" si="21"/>
        <v>105807</v>
      </c>
      <c r="G110" s="8">
        <f t="shared" si="21"/>
        <v>97897.63</v>
      </c>
      <c r="H110" s="8">
        <f t="shared" si="21"/>
        <v>94325.43</v>
      </c>
      <c r="I110" s="57">
        <f t="shared" si="9"/>
        <v>96.35108633375495</v>
      </c>
      <c r="J110" s="8">
        <f t="shared" si="21"/>
        <v>95497.63</v>
      </c>
      <c r="K110" s="8">
        <f t="shared" si="21"/>
        <v>94100</v>
      </c>
      <c r="L110" s="8">
        <f t="shared" si="11"/>
        <v>98.53647676910936</v>
      </c>
      <c r="M110" s="57">
        <f t="shared" si="16"/>
        <v>0.2636677184769187</v>
      </c>
      <c r="N110" s="57">
        <f t="shared" si="17"/>
        <v>0.18819271897425707</v>
      </c>
    </row>
    <row r="111" spans="1:14" ht="12.75">
      <c r="A111" s="265"/>
      <c r="B111" s="197"/>
      <c r="C111" s="6" t="s">
        <v>93</v>
      </c>
      <c r="D111" s="9" t="s">
        <v>16</v>
      </c>
      <c r="E111" s="4">
        <v>3266.05</v>
      </c>
      <c r="F111" s="4">
        <v>4000</v>
      </c>
      <c r="G111" s="4">
        <v>4000</v>
      </c>
      <c r="H111" s="4">
        <v>927.8</v>
      </c>
      <c r="I111" s="57">
        <f t="shared" si="9"/>
        <v>23.195</v>
      </c>
      <c r="J111" s="4">
        <v>2000</v>
      </c>
      <c r="K111" s="4">
        <v>4000</v>
      </c>
      <c r="L111" s="8">
        <f t="shared" si="11"/>
        <v>200</v>
      </c>
      <c r="M111" s="57">
        <f t="shared" si="16"/>
        <v>0.005521974073637613</v>
      </c>
      <c r="N111" s="57">
        <f t="shared" si="17"/>
        <v>0.00799969049837437</v>
      </c>
    </row>
    <row r="112" spans="1:14" ht="25.5" customHeight="1">
      <c r="A112" s="265"/>
      <c r="B112" s="197"/>
      <c r="C112" s="6" t="s">
        <v>325</v>
      </c>
      <c r="D112" s="9" t="s">
        <v>339</v>
      </c>
      <c r="E112" s="4">
        <v>350.09</v>
      </c>
      <c r="F112" s="4">
        <v>500</v>
      </c>
      <c r="G112" s="4">
        <v>500</v>
      </c>
      <c r="H112" s="4"/>
      <c r="I112" s="57">
        <f aca="true" t="shared" si="22" ref="I112:I154">H112/G112*100</f>
        <v>0</v>
      </c>
      <c r="J112" s="4">
        <v>100</v>
      </c>
      <c r="K112" s="4">
        <v>100</v>
      </c>
      <c r="L112" s="8">
        <f t="shared" si="11"/>
        <v>100</v>
      </c>
      <c r="M112" s="57">
        <f t="shared" si="16"/>
        <v>0.0002760987036818806</v>
      </c>
      <c r="N112" s="57">
        <f t="shared" si="17"/>
        <v>0.00019999226245935928</v>
      </c>
    </row>
    <row r="113" spans="1:14" ht="46.5" customHeight="1">
      <c r="A113" s="265"/>
      <c r="B113" s="197"/>
      <c r="C113" s="6" t="s">
        <v>112</v>
      </c>
      <c r="D113" s="9" t="s">
        <v>305</v>
      </c>
      <c r="E113" s="4">
        <v>13766.02</v>
      </c>
      <c r="F113" s="4">
        <v>14444.98</v>
      </c>
      <c r="G113" s="4">
        <v>11327.88</v>
      </c>
      <c r="H113" s="4">
        <v>11327.88</v>
      </c>
      <c r="I113" s="57">
        <f t="shared" si="22"/>
        <v>100</v>
      </c>
      <c r="J113" s="4">
        <v>11327.88</v>
      </c>
      <c r="K113" s="207">
        <v>15000</v>
      </c>
      <c r="L113" s="8">
        <f t="shared" si="11"/>
        <v>132.4166569561118</v>
      </c>
      <c r="M113" s="57">
        <f t="shared" si="16"/>
        <v>0.03127612983463902</v>
      </c>
      <c r="N113" s="57">
        <f t="shared" si="17"/>
        <v>0.02999883936890389</v>
      </c>
    </row>
    <row r="114" spans="1:14" ht="60" customHeight="1">
      <c r="A114" s="265"/>
      <c r="B114" s="197"/>
      <c r="C114" s="6" t="s">
        <v>291</v>
      </c>
      <c r="D114" s="9" t="s">
        <v>304</v>
      </c>
      <c r="E114" s="4">
        <v>79978.35</v>
      </c>
      <c r="F114" s="4">
        <v>86862.02</v>
      </c>
      <c r="G114" s="4">
        <v>82069.75</v>
      </c>
      <c r="H114" s="4">
        <v>82069.75</v>
      </c>
      <c r="I114" s="57">
        <f t="shared" si="22"/>
        <v>100</v>
      </c>
      <c r="J114" s="4">
        <v>82069.75</v>
      </c>
      <c r="K114" s="207">
        <v>75000</v>
      </c>
      <c r="L114" s="8">
        <f t="shared" si="11"/>
        <v>91.38568108225016</v>
      </c>
      <c r="M114" s="57">
        <f t="shared" si="16"/>
        <v>0.22659351586496024</v>
      </c>
      <c r="N114" s="57">
        <f t="shared" si="17"/>
        <v>0.14999419684451942</v>
      </c>
    </row>
    <row r="115" spans="1:14" ht="22.5">
      <c r="A115" s="270"/>
      <c r="B115" s="197" t="s">
        <v>114</v>
      </c>
      <c r="C115" s="6"/>
      <c r="D115" s="9" t="s">
        <v>127</v>
      </c>
      <c r="E115" s="8">
        <f aca="true" t="shared" si="23" ref="E115:K115">E116</f>
        <v>27945</v>
      </c>
      <c r="F115" s="8">
        <f t="shared" si="23"/>
        <v>39810</v>
      </c>
      <c r="G115" s="8">
        <f t="shared" si="23"/>
        <v>39810</v>
      </c>
      <c r="H115" s="8">
        <f t="shared" si="23"/>
        <v>29862</v>
      </c>
      <c r="I115" s="57">
        <f t="shared" si="22"/>
        <v>75.01130369253957</v>
      </c>
      <c r="J115" s="8">
        <f t="shared" si="23"/>
        <v>39810</v>
      </c>
      <c r="K115" s="8">
        <f t="shared" si="23"/>
        <v>31995</v>
      </c>
      <c r="L115" s="8">
        <f t="shared" si="11"/>
        <v>80.36925395629238</v>
      </c>
      <c r="M115" s="57">
        <f t="shared" si="16"/>
        <v>0.10991489393575668</v>
      </c>
      <c r="N115" s="57">
        <f t="shared" si="17"/>
        <v>0.06398752437387199</v>
      </c>
    </row>
    <row r="116" spans="1:14" ht="24" customHeight="1">
      <c r="A116" s="270"/>
      <c r="B116" s="197"/>
      <c r="C116" s="6" t="s">
        <v>115</v>
      </c>
      <c r="D116" s="9" t="str">
        <f>D107</f>
        <v>Subwencje ogólne z budżetu państwa</v>
      </c>
      <c r="E116" s="4">
        <v>27945</v>
      </c>
      <c r="F116" s="4">
        <v>39810</v>
      </c>
      <c r="G116" s="4">
        <v>39810</v>
      </c>
      <c r="H116" s="4">
        <v>29862</v>
      </c>
      <c r="I116" s="57">
        <f t="shared" si="22"/>
        <v>75.01130369253957</v>
      </c>
      <c r="J116" s="4">
        <v>39810</v>
      </c>
      <c r="K116" s="4">
        <v>31995</v>
      </c>
      <c r="L116" s="8">
        <f t="shared" si="11"/>
        <v>80.36925395629238</v>
      </c>
      <c r="M116" s="57">
        <f t="shared" si="16"/>
        <v>0.10991489393575668</v>
      </c>
      <c r="N116" s="57">
        <f t="shared" si="17"/>
        <v>0.06398752437387199</v>
      </c>
    </row>
    <row r="117" spans="1:14" ht="15.75" customHeight="1">
      <c r="A117" s="238">
        <v>801</v>
      </c>
      <c r="B117" s="197"/>
      <c r="C117" s="6"/>
      <c r="D117" s="7" t="s">
        <v>55</v>
      </c>
      <c r="E117" s="192" t="e">
        <f>E118+E127+E132+E134+E137+E125+E145+E143+E141</f>
        <v>#REF!</v>
      </c>
      <c r="F117" s="8" t="e">
        <f>F118+F127+F132+F134+F137+F125+F145+F143+F141</f>
        <v>#REF!</v>
      </c>
      <c r="G117" s="8" t="e">
        <f>G118+G125+G127+G130+G132+G137+G141+G143+G148+G153</f>
        <v>#REF!</v>
      </c>
      <c r="H117" s="8" t="e">
        <f>H118+H125+H127+H130+H132+H137+H141+H143+H148+H153</f>
        <v>#REF!</v>
      </c>
      <c r="I117" s="57" t="e">
        <f t="shared" si="22"/>
        <v>#REF!</v>
      </c>
      <c r="J117" s="8">
        <f>J118+J127+J132+J134+J137+J125+J145+J143+J141+J148+J130</f>
        <v>1056266.09</v>
      </c>
      <c r="K117" s="8">
        <f>K118+K127+K132+K134+K137+K125+K145+K143+K141+K148+K130</f>
        <v>215050</v>
      </c>
      <c r="L117" s="8">
        <f t="shared" si="11"/>
        <v>20.359453175288433</v>
      </c>
      <c r="M117" s="57">
        <f t="shared" si="16"/>
        <v>2.9163369819212868</v>
      </c>
      <c r="N117" s="57">
        <f t="shared" si="17"/>
        <v>0.4300833604188521</v>
      </c>
    </row>
    <row r="118" spans="1:14" ht="13.5" customHeight="1">
      <c r="A118" s="239"/>
      <c r="B118" s="243">
        <v>80101</v>
      </c>
      <c r="C118" s="6"/>
      <c r="D118" s="7" t="s">
        <v>56</v>
      </c>
      <c r="E118" s="8" t="e">
        <f>E119+E120+E121+E122+#REF!+E123+#REF!+#REF!</f>
        <v>#REF!</v>
      </c>
      <c r="F118" s="8" t="e">
        <f>F119+F120+F121+F122+#REF!+F123+#REF!+#REF!</f>
        <v>#REF!</v>
      </c>
      <c r="G118" s="8" t="e">
        <f>G119+G120+G121+G122+#REF!+G123+#REF!+#REF!+G124</f>
        <v>#REF!</v>
      </c>
      <c r="H118" s="8" t="e">
        <f>H119+H120+H121+H122+#REF!+H123+#REF!+#REF!+H124</f>
        <v>#REF!</v>
      </c>
      <c r="I118" s="57" t="e">
        <f t="shared" si="22"/>
        <v>#REF!</v>
      </c>
      <c r="J118" s="8">
        <f>J119+J120+J121+J122+J123+J124</f>
        <v>516194.52</v>
      </c>
      <c r="K118" s="8">
        <f>K119+K120+K121+K122+K123</f>
        <v>4700</v>
      </c>
      <c r="L118" s="8">
        <f t="shared" si="11"/>
        <v>0.9105094722818832</v>
      </c>
      <c r="M118" s="57">
        <f t="shared" si="16"/>
        <v>1.4252063781969062</v>
      </c>
      <c r="N118" s="57">
        <f t="shared" si="17"/>
        <v>0.009399636335589885</v>
      </c>
    </row>
    <row r="119" spans="1:14" ht="46.5" customHeight="1">
      <c r="A119" s="239"/>
      <c r="B119" s="244"/>
      <c r="C119" s="6" t="s">
        <v>91</v>
      </c>
      <c r="D119" s="9" t="s">
        <v>57</v>
      </c>
      <c r="E119" s="4">
        <v>2962.12</v>
      </c>
      <c r="F119" s="4">
        <v>2900</v>
      </c>
      <c r="G119" s="4">
        <v>2900</v>
      </c>
      <c r="H119" s="4">
        <v>1931.46</v>
      </c>
      <c r="I119" s="57">
        <f t="shared" si="22"/>
        <v>66.60206896551725</v>
      </c>
      <c r="J119" s="4">
        <v>2800</v>
      </c>
      <c r="K119" s="4">
        <v>3000</v>
      </c>
      <c r="L119" s="8">
        <f t="shared" si="11"/>
        <v>107.14285714285714</v>
      </c>
      <c r="M119" s="57">
        <f t="shared" si="16"/>
        <v>0.007730763703092659</v>
      </c>
      <c r="N119" s="57">
        <f t="shared" si="17"/>
        <v>0.005999767873780777</v>
      </c>
    </row>
    <row r="120" spans="1:14" ht="12.75">
      <c r="A120" s="239"/>
      <c r="B120" s="244"/>
      <c r="C120" s="6" t="s">
        <v>93</v>
      </c>
      <c r="D120" s="9" t="s">
        <v>16</v>
      </c>
      <c r="E120" s="4">
        <v>485.07</v>
      </c>
      <c r="F120" s="4">
        <v>100</v>
      </c>
      <c r="G120" s="4">
        <v>100</v>
      </c>
      <c r="H120" s="4">
        <v>96.92</v>
      </c>
      <c r="I120" s="57">
        <f t="shared" si="22"/>
        <v>96.92</v>
      </c>
      <c r="J120" s="4">
        <v>150</v>
      </c>
      <c r="K120" s="4">
        <v>200</v>
      </c>
      <c r="L120" s="8">
        <f t="shared" si="11"/>
        <v>133.33333333333331</v>
      </c>
      <c r="M120" s="57">
        <f t="shared" si="16"/>
        <v>0.0004141480555228209</v>
      </c>
      <c r="N120" s="57">
        <f t="shared" si="17"/>
        <v>0.00039998452491871856</v>
      </c>
    </row>
    <row r="121" spans="1:14" ht="15.75" customHeight="1">
      <c r="A121" s="239"/>
      <c r="B121" s="244"/>
      <c r="C121" s="6" t="s">
        <v>90</v>
      </c>
      <c r="D121" s="9" t="s">
        <v>7</v>
      </c>
      <c r="E121" s="4">
        <v>670.43</v>
      </c>
      <c r="F121" s="4">
        <v>490</v>
      </c>
      <c r="G121" s="4">
        <v>490</v>
      </c>
      <c r="H121" s="4">
        <v>819.08</v>
      </c>
      <c r="I121" s="57">
        <f t="shared" si="22"/>
        <v>167.1591836734694</v>
      </c>
      <c r="J121" s="4">
        <v>1200</v>
      </c>
      <c r="K121" s="4">
        <v>1500</v>
      </c>
      <c r="L121" s="8">
        <f t="shared" si="11"/>
        <v>125</v>
      </c>
      <c r="M121" s="57">
        <f t="shared" si="16"/>
        <v>0.0033131844441825673</v>
      </c>
      <c r="N121" s="57">
        <f t="shared" si="17"/>
        <v>0.0029998839368903887</v>
      </c>
    </row>
    <row r="122" spans="1:14" ht="25.5" customHeight="1">
      <c r="A122" s="239"/>
      <c r="B122" s="244"/>
      <c r="C122" s="6" t="s">
        <v>191</v>
      </c>
      <c r="D122" s="9" t="s">
        <v>146</v>
      </c>
      <c r="E122" s="4">
        <v>230935.99</v>
      </c>
      <c r="F122" s="4">
        <v>472680.57</v>
      </c>
      <c r="G122" s="4">
        <v>21049</v>
      </c>
      <c r="H122" s="4">
        <v>21049</v>
      </c>
      <c r="I122" s="57">
        <f t="shared" si="22"/>
        <v>100</v>
      </c>
      <c r="J122" s="207">
        <v>21049</v>
      </c>
      <c r="K122" s="4"/>
      <c r="L122" s="8">
        <f t="shared" si="11"/>
        <v>0</v>
      </c>
      <c r="M122" s="57">
        <f t="shared" si="16"/>
        <v>0.05811601613799905</v>
      </c>
      <c r="N122" s="57">
        <f t="shared" si="17"/>
        <v>0</v>
      </c>
    </row>
    <row r="123" spans="1:14" ht="25.5" customHeight="1">
      <c r="A123" s="239"/>
      <c r="B123" s="244"/>
      <c r="C123" s="6" t="s">
        <v>152</v>
      </c>
      <c r="D123" s="9" t="s">
        <v>146</v>
      </c>
      <c r="E123" s="4">
        <v>9328.46</v>
      </c>
      <c r="F123" s="4"/>
      <c r="G123" s="4">
        <v>18314.95</v>
      </c>
      <c r="H123" s="4">
        <v>18314.95</v>
      </c>
      <c r="I123" s="57">
        <f t="shared" si="22"/>
        <v>100</v>
      </c>
      <c r="J123" s="207">
        <v>18314.95</v>
      </c>
      <c r="K123" s="4"/>
      <c r="L123" s="8">
        <f>K123/J123*100</f>
        <v>0</v>
      </c>
      <c r="M123" s="57">
        <f t="shared" si="16"/>
        <v>0.0505673395299846</v>
      </c>
      <c r="N123" s="57">
        <f t="shared" si="17"/>
        <v>0</v>
      </c>
    </row>
    <row r="124" spans="1:14" ht="57.75" customHeight="1">
      <c r="A124" s="239"/>
      <c r="B124" s="198"/>
      <c r="C124" s="6" t="s">
        <v>193</v>
      </c>
      <c r="D124" s="9" t="s">
        <v>145</v>
      </c>
      <c r="E124" s="4"/>
      <c r="F124" s="4"/>
      <c r="G124" s="4">
        <v>472680.57</v>
      </c>
      <c r="H124" s="4"/>
      <c r="I124" s="57">
        <f t="shared" si="22"/>
        <v>0</v>
      </c>
      <c r="J124" s="4">
        <v>472680.57</v>
      </c>
      <c r="K124" s="4"/>
      <c r="L124" s="8"/>
      <c r="M124" s="57">
        <f t="shared" si="16"/>
        <v>1.3050649263261245</v>
      </c>
      <c r="N124" s="57">
        <f t="shared" si="17"/>
        <v>0</v>
      </c>
    </row>
    <row r="125" spans="1:14" s="52" customFormat="1" ht="24" customHeight="1">
      <c r="A125" s="239"/>
      <c r="B125" s="248">
        <v>80103</v>
      </c>
      <c r="C125" s="5"/>
      <c r="D125" s="7" t="s">
        <v>255</v>
      </c>
      <c r="E125" s="8">
        <f aca="true" t="shared" si="24" ref="E125:K125">E126</f>
        <v>46384</v>
      </c>
      <c r="F125" s="8">
        <f t="shared" si="24"/>
        <v>0</v>
      </c>
      <c r="G125" s="8">
        <f t="shared" si="24"/>
        <v>35620</v>
      </c>
      <c r="H125" s="8">
        <f t="shared" si="24"/>
        <v>26714</v>
      </c>
      <c r="I125" s="57">
        <f t="shared" si="22"/>
        <v>74.99719258843346</v>
      </c>
      <c r="J125" s="8">
        <f t="shared" si="24"/>
        <v>35620</v>
      </c>
      <c r="K125" s="8">
        <f t="shared" si="24"/>
        <v>40000</v>
      </c>
      <c r="L125" s="8">
        <f aca="true" t="shared" si="25" ref="L125:L133">K125/J125*100</f>
        <v>112.29646266142616</v>
      </c>
      <c r="M125" s="57">
        <f t="shared" si="16"/>
        <v>0.09834635825148588</v>
      </c>
      <c r="N125" s="57">
        <f t="shared" si="17"/>
        <v>0.0799969049837437</v>
      </c>
    </row>
    <row r="126" spans="1:14" s="51" customFormat="1" ht="35.25" customHeight="1">
      <c r="A126" s="239"/>
      <c r="B126" s="245"/>
      <c r="C126" s="6" t="s">
        <v>112</v>
      </c>
      <c r="D126" s="9" t="s">
        <v>71</v>
      </c>
      <c r="E126" s="4">
        <v>46384</v>
      </c>
      <c r="F126" s="4"/>
      <c r="G126" s="4">
        <v>35620</v>
      </c>
      <c r="H126" s="4">
        <v>26714</v>
      </c>
      <c r="I126" s="57">
        <f t="shared" si="22"/>
        <v>74.99719258843346</v>
      </c>
      <c r="J126" s="207">
        <v>35620</v>
      </c>
      <c r="K126" s="207">
        <v>40000</v>
      </c>
      <c r="L126" s="8">
        <f t="shared" si="25"/>
        <v>112.29646266142616</v>
      </c>
      <c r="M126" s="57">
        <f t="shared" si="16"/>
        <v>0.09834635825148588</v>
      </c>
      <c r="N126" s="57">
        <f t="shared" si="17"/>
        <v>0.0799969049837437</v>
      </c>
    </row>
    <row r="127" spans="1:14" ht="12" customHeight="1">
      <c r="A127" s="239"/>
      <c r="B127" s="243">
        <v>80104</v>
      </c>
      <c r="C127" s="6"/>
      <c r="D127" s="7" t="s">
        <v>59</v>
      </c>
      <c r="E127" s="8" t="e">
        <f>E128+#REF!+#REF!+E129+#REF!+#REF!+E130</f>
        <v>#REF!</v>
      </c>
      <c r="F127" s="8" t="e">
        <f>F128+#REF!+#REF!+F129+#REF!+#REF!</f>
        <v>#REF!</v>
      </c>
      <c r="G127" s="8" t="e">
        <f>G128+#REF!+#REF!+G129+#REF!+#REF!</f>
        <v>#REF!</v>
      </c>
      <c r="H127" s="8" t="e">
        <f>H128+#REF!+#REF!+H129+#REF!+#REF!</f>
        <v>#REF!</v>
      </c>
      <c r="I127" s="57" t="e">
        <f t="shared" si="22"/>
        <v>#REF!</v>
      </c>
      <c r="J127" s="8">
        <f>J128+J129</f>
        <v>154670</v>
      </c>
      <c r="K127" s="8">
        <f>K128+K129</f>
        <v>165000</v>
      </c>
      <c r="L127" s="8">
        <f t="shared" si="25"/>
        <v>106.6787353720825</v>
      </c>
      <c r="M127" s="57">
        <f t="shared" si="16"/>
        <v>0.42704186498476476</v>
      </c>
      <c r="N127" s="57">
        <f t="shared" si="17"/>
        <v>0.32998723305794275</v>
      </c>
    </row>
    <row r="128" spans="1:14" ht="12.75">
      <c r="A128" s="239"/>
      <c r="B128" s="244"/>
      <c r="C128" s="6" t="s">
        <v>93</v>
      </c>
      <c r="D128" s="9" t="s">
        <v>16</v>
      </c>
      <c r="E128" s="4"/>
      <c r="F128" s="4"/>
      <c r="G128" s="4">
        <v>45000</v>
      </c>
      <c r="H128" s="4">
        <v>23621.48</v>
      </c>
      <c r="I128" s="57">
        <f t="shared" si="22"/>
        <v>52.49217777777778</v>
      </c>
      <c r="J128" s="4">
        <v>30000</v>
      </c>
      <c r="K128" s="4">
        <v>35000</v>
      </c>
      <c r="L128" s="8">
        <f t="shared" si="25"/>
        <v>116.66666666666667</v>
      </c>
      <c r="M128" s="57">
        <f t="shared" si="16"/>
        <v>0.08282961110456419</v>
      </c>
      <c r="N128" s="57">
        <f t="shared" si="17"/>
        <v>0.06999729186077573</v>
      </c>
    </row>
    <row r="129" spans="1:14" ht="30.75" customHeight="1">
      <c r="A129" s="239"/>
      <c r="B129" s="245"/>
      <c r="C129" s="126" t="s">
        <v>112</v>
      </c>
      <c r="D129" s="9" t="s">
        <v>71</v>
      </c>
      <c r="E129" s="4">
        <v>120531.5</v>
      </c>
      <c r="F129" s="4"/>
      <c r="G129" s="4">
        <v>124670</v>
      </c>
      <c r="H129" s="4">
        <v>93502</v>
      </c>
      <c r="I129" s="57">
        <f t="shared" si="22"/>
        <v>74.99959894120478</v>
      </c>
      <c r="J129" s="207">
        <v>124670</v>
      </c>
      <c r="K129" s="207">
        <v>130000</v>
      </c>
      <c r="L129" s="8">
        <f t="shared" si="25"/>
        <v>104.27528675703859</v>
      </c>
      <c r="M129" s="57">
        <f t="shared" si="16"/>
        <v>0.3442122538802006</v>
      </c>
      <c r="N129" s="57">
        <f t="shared" si="17"/>
        <v>0.25998994119716706</v>
      </c>
    </row>
    <row r="130" spans="1:14" ht="12.75" customHeight="1">
      <c r="A130" s="239"/>
      <c r="B130" s="272">
        <v>80105</v>
      </c>
      <c r="C130" s="6"/>
      <c r="D130" s="7" t="s">
        <v>457</v>
      </c>
      <c r="E130" s="8">
        <f>SUM(E131)</f>
        <v>334.5</v>
      </c>
      <c r="F130" s="8"/>
      <c r="G130" s="8">
        <f>SUM(G131)</f>
        <v>1370</v>
      </c>
      <c r="H130" s="8">
        <f>SUM(H131)</f>
        <v>1027</v>
      </c>
      <c r="I130" s="57">
        <f t="shared" si="22"/>
        <v>74.96350364963503</v>
      </c>
      <c r="J130" s="8">
        <f>J131</f>
        <v>1370</v>
      </c>
      <c r="K130" s="8">
        <f>K131</f>
        <v>1500</v>
      </c>
      <c r="L130" s="8">
        <f t="shared" si="25"/>
        <v>109.48905109489051</v>
      </c>
      <c r="M130" s="57">
        <f t="shared" si="16"/>
        <v>0.003782552240441765</v>
      </c>
      <c r="N130" s="57">
        <f t="shared" si="17"/>
        <v>0.0029998839368903887</v>
      </c>
    </row>
    <row r="131" spans="1:14" ht="48.75" customHeight="1">
      <c r="A131" s="239"/>
      <c r="B131" s="273"/>
      <c r="C131" s="6" t="s">
        <v>112</v>
      </c>
      <c r="D131" s="9" t="s">
        <v>305</v>
      </c>
      <c r="E131" s="4">
        <v>334.5</v>
      </c>
      <c r="F131" s="4"/>
      <c r="G131" s="4">
        <v>1370</v>
      </c>
      <c r="H131" s="4">
        <v>1027</v>
      </c>
      <c r="I131" s="57">
        <f t="shared" si="22"/>
        <v>74.96350364963503</v>
      </c>
      <c r="J131" s="207">
        <v>1370</v>
      </c>
      <c r="K131" s="207">
        <v>1500</v>
      </c>
      <c r="L131" s="8">
        <f t="shared" si="25"/>
        <v>109.48905109489051</v>
      </c>
      <c r="M131" s="57">
        <f t="shared" si="16"/>
        <v>0.003782552240441765</v>
      </c>
      <c r="N131" s="57">
        <f t="shared" si="17"/>
        <v>0.0029998839368903887</v>
      </c>
    </row>
    <row r="132" spans="1:14" ht="10.5" customHeight="1">
      <c r="A132" s="239"/>
      <c r="B132" s="243">
        <v>80110</v>
      </c>
      <c r="C132" s="5"/>
      <c r="D132" s="7" t="s">
        <v>60</v>
      </c>
      <c r="E132" s="8" t="e">
        <f>#REF!+#REF!+#REF!+#REF!+E133+#REF!+#REF!+#REF!</f>
        <v>#REF!</v>
      </c>
      <c r="F132" s="8" t="e">
        <f>#REF!+#REF!+#REF!+#REF!+F133+#REF!+#REF!+#REF!</f>
        <v>#REF!</v>
      </c>
      <c r="G132" s="8" t="e">
        <f>#REF!+#REF!+#REF!+#REF!+G133+#REF!+#REF!+#REF!</f>
        <v>#REF!</v>
      </c>
      <c r="H132" s="8" t="e">
        <f>#REF!+#REF!+#REF!+#REF!+H133+#REF!+#REF!+#REF!</f>
        <v>#REF!</v>
      </c>
      <c r="I132" s="57" t="e">
        <f t="shared" si="22"/>
        <v>#REF!</v>
      </c>
      <c r="J132" s="8">
        <f>J133</f>
        <v>13538.42</v>
      </c>
      <c r="K132" s="8">
        <f>K133</f>
        <v>0</v>
      </c>
      <c r="L132" s="8">
        <f t="shared" si="25"/>
        <v>0</v>
      </c>
      <c r="M132" s="57">
        <f t="shared" si="16"/>
        <v>0.03737940211900846</v>
      </c>
      <c r="N132" s="57">
        <f t="shared" si="17"/>
        <v>0</v>
      </c>
    </row>
    <row r="133" spans="1:14" ht="22.5" customHeight="1">
      <c r="A133" s="239"/>
      <c r="B133" s="244"/>
      <c r="C133" s="6" t="s">
        <v>152</v>
      </c>
      <c r="D133" s="9" t="s">
        <v>146</v>
      </c>
      <c r="E133" s="4">
        <v>18455.06</v>
      </c>
      <c r="F133" s="4"/>
      <c r="G133" s="4">
        <v>13538.42</v>
      </c>
      <c r="H133" s="4">
        <v>13538.42</v>
      </c>
      <c r="I133" s="57">
        <f t="shared" si="22"/>
        <v>100</v>
      </c>
      <c r="J133" s="207">
        <v>13538.42</v>
      </c>
      <c r="K133" s="4"/>
      <c r="L133" s="8">
        <f t="shared" si="25"/>
        <v>0</v>
      </c>
      <c r="M133" s="57">
        <f t="shared" si="16"/>
        <v>0.03737940211900846</v>
      </c>
      <c r="N133" s="57">
        <f t="shared" si="17"/>
        <v>0</v>
      </c>
    </row>
    <row r="134" spans="1:14" ht="21">
      <c r="A134" s="239"/>
      <c r="B134" s="243">
        <v>80114</v>
      </c>
      <c r="C134" s="5"/>
      <c r="D134" s="224" t="s">
        <v>61</v>
      </c>
      <c r="E134" s="225">
        <f aca="true" t="shared" si="26" ref="E134:K134">E135+E136</f>
        <v>0</v>
      </c>
      <c r="F134" s="225">
        <f t="shared" si="26"/>
        <v>0</v>
      </c>
      <c r="G134" s="225">
        <f t="shared" si="26"/>
        <v>0</v>
      </c>
      <c r="H134" s="225">
        <f t="shared" si="26"/>
        <v>0</v>
      </c>
      <c r="I134" s="226" t="e">
        <f t="shared" si="22"/>
        <v>#DIV/0!</v>
      </c>
      <c r="J134" s="225">
        <f t="shared" si="26"/>
        <v>0</v>
      </c>
      <c r="K134" s="225">
        <f t="shared" si="26"/>
        <v>0</v>
      </c>
      <c r="L134" s="225"/>
      <c r="M134" s="226">
        <f aca="true" t="shared" si="27" ref="M134:M165">(J134/$J$242)*100</f>
        <v>0</v>
      </c>
      <c r="N134" s="57">
        <f aca="true" t="shared" si="28" ref="N134:N165">(K134/$K$242)*100</f>
        <v>0</v>
      </c>
    </row>
    <row r="135" spans="1:14" ht="12.75">
      <c r="A135" s="239"/>
      <c r="B135" s="244"/>
      <c r="C135" s="6" t="s">
        <v>93</v>
      </c>
      <c r="D135" s="227" t="s">
        <v>16</v>
      </c>
      <c r="E135" s="218"/>
      <c r="F135" s="218"/>
      <c r="G135" s="218"/>
      <c r="H135" s="218"/>
      <c r="I135" s="226" t="e">
        <f t="shared" si="22"/>
        <v>#DIV/0!</v>
      </c>
      <c r="J135" s="218"/>
      <c r="K135" s="218"/>
      <c r="L135" s="225"/>
      <c r="M135" s="226">
        <f t="shared" si="27"/>
        <v>0</v>
      </c>
      <c r="N135" s="57">
        <f t="shared" si="28"/>
        <v>0</v>
      </c>
    </row>
    <row r="136" spans="1:14" ht="12.75">
      <c r="A136" s="239"/>
      <c r="B136" s="244"/>
      <c r="C136" s="6" t="s">
        <v>90</v>
      </c>
      <c r="D136" s="227" t="s">
        <v>7</v>
      </c>
      <c r="E136" s="218"/>
      <c r="F136" s="218"/>
      <c r="G136" s="218"/>
      <c r="H136" s="218"/>
      <c r="I136" s="226" t="e">
        <f t="shared" si="22"/>
        <v>#DIV/0!</v>
      </c>
      <c r="J136" s="218"/>
      <c r="K136" s="218"/>
      <c r="L136" s="225"/>
      <c r="M136" s="226">
        <f t="shared" si="27"/>
        <v>0</v>
      </c>
      <c r="N136" s="57">
        <f t="shared" si="28"/>
        <v>0</v>
      </c>
    </row>
    <row r="137" spans="1:14" ht="12.75">
      <c r="A137" s="239"/>
      <c r="B137" s="243">
        <v>80130</v>
      </c>
      <c r="C137" s="5"/>
      <c r="D137" s="7" t="s">
        <v>62</v>
      </c>
      <c r="E137" s="8" t="e">
        <f>E138+#REF!+E139+E140+#REF!+#REF!+#REF!</f>
        <v>#REF!</v>
      </c>
      <c r="F137" s="8" t="e">
        <f>F138+#REF!+F139+F140+#REF!+#REF!+#REF!</f>
        <v>#REF!</v>
      </c>
      <c r="G137" s="8" t="e">
        <f>G138+#REF!+G139+G140+#REF!+#REF!+#REF!</f>
        <v>#REF!</v>
      </c>
      <c r="H137" s="8" t="e">
        <f>H138+#REF!+H139+H140+#REF!+#REF!+#REF!</f>
        <v>#REF!</v>
      </c>
      <c r="I137" s="57" t="e">
        <f t="shared" si="22"/>
        <v>#REF!</v>
      </c>
      <c r="J137" s="8">
        <f>J138+J139+J140</f>
        <v>191981.75</v>
      </c>
      <c r="K137" s="8">
        <f>K138+K139+K140</f>
        <v>150</v>
      </c>
      <c r="L137" s="8">
        <f>K137/J137*100</f>
        <v>0.07813242664992896</v>
      </c>
      <c r="M137" s="57">
        <f t="shared" si="27"/>
        <v>0.5300591230557888</v>
      </c>
      <c r="N137" s="57">
        <f t="shared" si="28"/>
        <v>0.0002999883936890389</v>
      </c>
    </row>
    <row r="138" spans="1:14" ht="12.75">
      <c r="A138" s="240"/>
      <c r="B138" s="268"/>
      <c r="C138" s="6" t="s">
        <v>90</v>
      </c>
      <c r="D138" s="9" t="str">
        <f>D136</f>
        <v>Wpływy z różnych dochodów</v>
      </c>
      <c r="E138" s="4">
        <v>89</v>
      </c>
      <c r="F138" s="4"/>
      <c r="G138" s="56">
        <v>150</v>
      </c>
      <c r="H138" s="56">
        <v>76</v>
      </c>
      <c r="I138" s="57">
        <f t="shared" si="22"/>
        <v>50.66666666666667</v>
      </c>
      <c r="J138" s="56">
        <v>100</v>
      </c>
      <c r="K138" s="56">
        <v>150</v>
      </c>
      <c r="L138" s="8">
        <f>K138/J138*100</f>
        <v>150</v>
      </c>
      <c r="M138" s="57">
        <f t="shared" si="27"/>
        <v>0.0002760987036818806</v>
      </c>
      <c r="N138" s="57">
        <f t="shared" si="28"/>
        <v>0.0002999883936890389</v>
      </c>
    </row>
    <row r="139" spans="1:14" ht="22.5" customHeight="1">
      <c r="A139" s="240"/>
      <c r="B139" s="244"/>
      <c r="C139" s="61" t="s">
        <v>191</v>
      </c>
      <c r="D139" s="9" t="s">
        <v>146</v>
      </c>
      <c r="E139" s="4">
        <v>263464.68</v>
      </c>
      <c r="F139" s="4">
        <v>115014.2</v>
      </c>
      <c r="G139" s="56">
        <v>108624.53</v>
      </c>
      <c r="H139" s="56">
        <v>185492.08</v>
      </c>
      <c r="I139" s="57">
        <f t="shared" si="22"/>
        <v>170.76444887724716</v>
      </c>
      <c r="J139" s="210">
        <v>185492.08</v>
      </c>
      <c r="K139" s="56"/>
      <c r="L139" s="8">
        <f>K139/J139*100</f>
        <v>0</v>
      </c>
      <c r="M139" s="57">
        <f t="shared" si="27"/>
        <v>0.5121412283125569</v>
      </c>
      <c r="N139" s="57">
        <f t="shared" si="28"/>
        <v>0</v>
      </c>
    </row>
    <row r="140" spans="1:14" ht="24" customHeight="1">
      <c r="A140" s="240"/>
      <c r="B140" s="244"/>
      <c r="C140" s="61" t="s">
        <v>152</v>
      </c>
      <c r="D140" s="9" t="s">
        <v>146</v>
      </c>
      <c r="E140" s="4">
        <v>15497.92</v>
      </c>
      <c r="F140" s="4"/>
      <c r="G140" s="56">
        <v>6389.67</v>
      </c>
      <c r="H140" s="56">
        <v>6389.67</v>
      </c>
      <c r="I140" s="57">
        <f t="shared" si="22"/>
        <v>100</v>
      </c>
      <c r="J140" s="210">
        <v>6389.67</v>
      </c>
      <c r="K140" s="56"/>
      <c r="L140" s="8">
        <f>K140/J140*100</f>
        <v>0</v>
      </c>
      <c r="M140" s="57">
        <f t="shared" si="27"/>
        <v>0.01764179603955002</v>
      </c>
      <c r="N140" s="57">
        <f t="shared" si="28"/>
        <v>0</v>
      </c>
    </row>
    <row r="141" spans="1:14" ht="14.25" customHeight="1">
      <c r="A141" s="240"/>
      <c r="B141" s="248">
        <v>80148</v>
      </c>
      <c r="C141" s="132"/>
      <c r="D141" s="7" t="s">
        <v>354</v>
      </c>
      <c r="E141" s="8">
        <f aca="true" t="shared" si="29" ref="E141:K141">E142</f>
        <v>0</v>
      </c>
      <c r="F141" s="8">
        <f t="shared" si="29"/>
        <v>188280</v>
      </c>
      <c r="G141" s="8">
        <v>188280</v>
      </c>
      <c r="H141" s="8">
        <f t="shared" si="29"/>
        <v>0</v>
      </c>
      <c r="I141" s="57">
        <f t="shared" si="22"/>
        <v>0</v>
      </c>
      <c r="J141" s="8">
        <f t="shared" si="29"/>
        <v>0</v>
      </c>
      <c r="K141" s="8">
        <f t="shared" si="29"/>
        <v>0</v>
      </c>
      <c r="L141" s="8"/>
      <c r="M141" s="57">
        <f t="shared" si="27"/>
        <v>0</v>
      </c>
      <c r="N141" s="57">
        <f t="shared" si="28"/>
        <v>0</v>
      </c>
    </row>
    <row r="142" spans="1:14" ht="12.75">
      <c r="A142" s="240"/>
      <c r="B142" s="250"/>
      <c r="C142" s="61" t="s">
        <v>96</v>
      </c>
      <c r="D142" s="9" t="s">
        <v>25</v>
      </c>
      <c r="E142" s="4"/>
      <c r="F142" s="4">
        <v>188280</v>
      </c>
      <c r="G142" s="56">
        <v>0</v>
      </c>
      <c r="H142" s="56"/>
      <c r="I142" s="57" t="e">
        <f t="shared" si="22"/>
        <v>#DIV/0!</v>
      </c>
      <c r="J142" s="56"/>
      <c r="K142" s="56"/>
      <c r="L142" s="8"/>
      <c r="M142" s="57">
        <f t="shared" si="27"/>
        <v>0</v>
      </c>
      <c r="N142" s="57">
        <f t="shared" si="28"/>
        <v>0</v>
      </c>
    </row>
    <row r="143" spans="1:14" ht="48" customHeight="1">
      <c r="A143" s="240"/>
      <c r="B143" s="269">
        <v>80149</v>
      </c>
      <c r="C143" s="61"/>
      <c r="D143" s="211" t="s">
        <v>340</v>
      </c>
      <c r="E143" s="8">
        <f>SUM(E144)</f>
        <v>5352</v>
      </c>
      <c r="F143" s="4"/>
      <c r="G143" s="8">
        <f>SUM(G144)</f>
        <v>2740</v>
      </c>
      <c r="H143" s="8">
        <f>SUM(H144)</f>
        <v>2054</v>
      </c>
      <c r="I143" s="57">
        <f t="shared" si="22"/>
        <v>74.96350364963503</v>
      </c>
      <c r="J143" s="8">
        <f>J144</f>
        <v>2740</v>
      </c>
      <c r="K143" s="8">
        <f>K144</f>
        <v>3000</v>
      </c>
      <c r="L143" s="8">
        <f>K143/J143*100</f>
        <v>109.48905109489051</v>
      </c>
      <c r="M143" s="57">
        <f t="shared" si="27"/>
        <v>0.00756510448088353</v>
      </c>
      <c r="N143" s="57">
        <f t="shared" si="28"/>
        <v>0.005999767873780777</v>
      </c>
    </row>
    <row r="144" spans="1:14" ht="35.25" customHeight="1">
      <c r="A144" s="240"/>
      <c r="B144" s="245"/>
      <c r="C144" s="61" t="s">
        <v>112</v>
      </c>
      <c r="D144" s="9" t="s">
        <v>71</v>
      </c>
      <c r="E144" s="4">
        <v>5352</v>
      </c>
      <c r="F144" s="4"/>
      <c r="G144" s="56">
        <v>2740</v>
      </c>
      <c r="H144" s="56">
        <v>2054</v>
      </c>
      <c r="I144" s="57">
        <f t="shared" si="22"/>
        <v>74.96350364963503</v>
      </c>
      <c r="J144" s="210">
        <v>2740</v>
      </c>
      <c r="K144" s="210">
        <v>3000</v>
      </c>
      <c r="L144" s="8">
        <f>K144/J144*100</f>
        <v>109.48905109489051</v>
      </c>
      <c r="M144" s="57">
        <f t="shared" si="27"/>
        <v>0.00756510448088353</v>
      </c>
      <c r="N144" s="57">
        <f t="shared" si="28"/>
        <v>0.005999767873780777</v>
      </c>
    </row>
    <row r="145" spans="1:19" ht="13.5" customHeight="1">
      <c r="A145" s="241"/>
      <c r="B145" s="204">
        <v>80151</v>
      </c>
      <c r="C145" s="132"/>
      <c r="D145" s="7" t="s">
        <v>473</v>
      </c>
      <c r="E145" s="8">
        <f>E146</f>
        <v>599.94</v>
      </c>
      <c r="F145" s="8">
        <f>F146</f>
        <v>0</v>
      </c>
      <c r="G145" s="8">
        <f>G146</f>
        <v>0</v>
      </c>
      <c r="H145" s="8">
        <f>H146</f>
        <v>0</v>
      </c>
      <c r="I145" s="57" t="e">
        <f t="shared" si="22"/>
        <v>#DIV/0!</v>
      </c>
      <c r="J145" s="8">
        <f>J146+J147</f>
        <v>76236.75</v>
      </c>
      <c r="K145" s="8">
        <f aca="true" t="shared" si="30" ref="K145:S145">K146+K147</f>
        <v>0</v>
      </c>
      <c r="L145" s="8">
        <f t="shared" si="30"/>
        <v>0</v>
      </c>
      <c r="M145" s="57">
        <f t="shared" si="27"/>
        <v>0.21048867847919614</v>
      </c>
      <c r="N145" s="57">
        <f t="shared" si="28"/>
        <v>0</v>
      </c>
      <c r="O145" s="8">
        <f t="shared" si="30"/>
        <v>0</v>
      </c>
      <c r="P145" s="8">
        <f t="shared" si="30"/>
        <v>0</v>
      </c>
      <c r="Q145" s="8">
        <f t="shared" si="30"/>
        <v>0</v>
      </c>
      <c r="R145" s="8">
        <f t="shared" si="30"/>
        <v>0</v>
      </c>
      <c r="S145" s="8">
        <f t="shared" si="30"/>
        <v>0</v>
      </c>
    </row>
    <row r="146" spans="1:14" ht="27" customHeight="1">
      <c r="A146" s="241"/>
      <c r="B146" s="201"/>
      <c r="C146" s="61" t="s">
        <v>191</v>
      </c>
      <c r="D146" s="9" t="s">
        <v>146</v>
      </c>
      <c r="E146" s="4">
        <v>599.94</v>
      </c>
      <c r="F146" s="4"/>
      <c r="G146" s="4"/>
      <c r="H146" s="4"/>
      <c r="I146" s="57" t="e">
        <f t="shared" si="22"/>
        <v>#DIV/0!</v>
      </c>
      <c r="J146" s="4">
        <v>72001.37</v>
      </c>
      <c r="K146" s="4"/>
      <c r="L146" s="8">
        <f>K146/J146*100</f>
        <v>0</v>
      </c>
      <c r="M146" s="57">
        <f t="shared" si="27"/>
        <v>0.19879484920319448</v>
      </c>
      <c r="N146" s="57">
        <f t="shared" si="28"/>
        <v>0</v>
      </c>
    </row>
    <row r="147" spans="1:14" ht="24.75" customHeight="1">
      <c r="A147" s="53"/>
      <c r="B147" s="201"/>
      <c r="C147" s="61" t="s">
        <v>152</v>
      </c>
      <c r="D147" s="9" t="s">
        <v>146</v>
      </c>
      <c r="E147" s="4"/>
      <c r="F147" s="4"/>
      <c r="G147" s="4"/>
      <c r="H147" s="4"/>
      <c r="I147" s="57"/>
      <c r="J147" s="4">
        <v>4235.38</v>
      </c>
      <c r="K147" s="4"/>
      <c r="L147" s="8"/>
      <c r="M147" s="57">
        <f t="shared" si="27"/>
        <v>0.011693829276001636</v>
      </c>
      <c r="N147" s="57">
        <f t="shared" si="28"/>
        <v>0</v>
      </c>
    </row>
    <row r="148" spans="1:14" ht="52.5">
      <c r="A148" s="274"/>
      <c r="B148" s="277"/>
      <c r="C148" s="132"/>
      <c r="D148" s="7" t="s">
        <v>463</v>
      </c>
      <c r="E148" s="8"/>
      <c r="F148" s="8"/>
      <c r="G148" s="8">
        <f>SUM(G149:G152)</f>
        <v>76236.75</v>
      </c>
      <c r="H148" s="8">
        <f>SUM(H149:H152)</f>
        <v>76239.87</v>
      </c>
      <c r="I148" s="57">
        <f t="shared" si="22"/>
        <v>100.00409251443693</v>
      </c>
      <c r="J148" s="8">
        <f>J149+J150+J151+J152</f>
        <v>63914.65</v>
      </c>
      <c r="K148" s="8">
        <f>K149+K150+K151+K152</f>
        <v>700</v>
      </c>
      <c r="L148" s="8">
        <f>L149+L150+L151</f>
        <v>0</v>
      </c>
      <c r="M148" s="57">
        <f t="shared" si="27"/>
        <v>0.1764675201128111</v>
      </c>
      <c r="N148" s="57">
        <f t="shared" si="28"/>
        <v>0.0013999458372155147</v>
      </c>
    </row>
    <row r="149" spans="1:14" ht="22.5">
      <c r="A149" s="275"/>
      <c r="B149" s="278"/>
      <c r="C149" s="61" t="s">
        <v>325</v>
      </c>
      <c r="D149" s="9" t="s">
        <v>464</v>
      </c>
      <c r="E149" s="8"/>
      <c r="F149" s="8"/>
      <c r="G149" s="8"/>
      <c r="H149" s="8">
        <v>3.12</v>
      </c>
      <c r="I149" s="57" t="e">
        <f t="shared" si="22"/>
        <v>#DIV/0!</v>
      </c>
      <c r="J149" s="8">
        <v>561</v>
      </c>
      <c r="K149" s="4">
        <v>700</v>
      </c>
      <c r="L149" s="8"/>
      <c r="M149" s="57">
        <f t="shared" si="27"/>
        <v>0.0015489137276553505</v>
      </c>
      <c r="N149" s="57">
        <f t="shared" si="28"/>
        <v>0.0013999458372155147</v>
      </c>
    </row>
    <row r="150" spans="1:14" ht="22.5" customHeight="1">
      <c r="A150" s="275"/>
      <c r="B150" s="278"/>
      <c r="C150" s="61" t="s">
        <v>191</v>
      </c>
      <c r="D150" s="9" t="s">
        <v>146</v>
      </c>
      <c r="E150" s="8"/>
      <c r="F150" s="8"/>
      <c r="G150" s="8">
        <v>72001.37</v>
      </c>
      <c r="H150" s="8">
        <v>72001.37</v>
      </c>
      <c r="I150" s="57">
        <f t="shared" si="22"/>
        <v>100</v>
      </c>
      <c r="J150" s="209"/>
      <c r="K150" s="209">
        <v>0</v>
      </c>
      <c r="L150" s="8"/>
      <c r="M150" s="57">
        <f t="shared" si="27"/>
        <v>0</v>
      </c>
      <c r="N150" s="57">
        <f t="shared" si="28"/>
        <v>0</v>
      </c>
    </row>
    <row r="151" spans="1:14" ht="23.25" customHeight="1">
      <c r="A151" s="275"/>
      <c r="B151" s="278"/>
      <c r="C151" s="61" t="s">
        <v>152</v>
      </c>
      <c r="D151" s="9" t="s">
        <v>146</v>
      </c>
      <c r="E151" s="8"/>
      <c r="F151" s="8"/>
      <c r="G151" s="8">
        <v>4235.38</v>
      </c>
      <c r="H151" s="8">
        <v>4235.38</v>
      </c>
      <c r="I151" s="57">
        <f t="shared" si="22"/>
        <v>100</v>
      </c>
      <c r="J151" s="209"/>
      <c r="K151" s="209">
        <v>0</v>
      </c>
      <c r="L151" s="8"/>
      <c r="M151" s="57">
        <f t="shared" si="27"/>
        <v>0</v>
      </c>
      <c r="N151" s="57">
        <f t="shared" si="28"/>
        <v>0</v>
      </c>
    </row>
    <row r="152" spans="1:14" ht="33.75">
      <c r="A152" s="276"/>
      <c r="B152" s="279"/>
      <c r="C152" s="132" t="s">
        <v>117</v>
      </c>
      <c r="D152" s="9" t="s">
        <v>68</v>
      </c>
      <c r="E152" s="8"/>
      <c r="F152" s="8"/>
      <c r="G152" s="8"/>
      <c r="H152" s="8"/>
      <c r="I152" s="57" t="e">
        <f t="shared" si="22"/>
        <v>#DIV/0!</v>
      </c>
      <c r="J152" s="8">
        <v>63353.65</v>
      </c>
      <c r="K152" s="8"/>
      <c r="L152" s="8"/>
      <c r="M152" s="57">
        <f t="shared" si="27"/>
        <v>0.17491860638515577</v>
      </c>
      <c r="N152" s="57">
        <f t="shared" si="28"/>
        <v>0</v>
      </c>
    </row>
    <row r="153" spans="1:14" ht="13.5" customHeight="1">
      <c r="A153" s="265" t="s">
        <v>462</v>
      </c>
      <c r="B153" s="197"/>
      <c r="C153" s="5"/>
      <c r="D153" s="7" t="s">
        <v>63</v>
      </c>
      <c r="E153" s="8" t="e">
        <f>E154+#REF!</f>
        <v>#REF!</v>
      </c>
      <c r="F153" s="8" t="e">
        <f>F154+#REF!</f>
        <v>#REF!</v>
      </c>
      <c r="G153" s="8" t="e">
        <f>G154+#REF!</f>
        <v>#REF!</v>
      </c>
      <c r="H153" s="8" t="e">
        <f>H154+#REF!</f>
        <v>#REF!</v>
      </c>
      <c r="I153" s="57" t="e">
        <f t="shared" si="22"/>
        <v>#REF!</v>
      </c>
      <c r="J153" s="8">
        <f>J154</f>
        <v>332</v>
      </c>
      <c r="K153" s="8">
        <f>K154</f>
        <v>271</v>
      </c>
      <c r="L153" s="8">
        <f aca="true" t="shared" si="31" ref="L153:L159">K153/J153*100</f>
        <v>81.62650602409639</v>
      </c>
      <c r="M153" s="57">
        <f t="shared" si="27"/>
        <v>0.0009166476962238438</v>
      </c>
      <c r="N153" s="57">
        <f t="shared" si="28"/>
        <v>0.0005419790312648636</v>
      </c>
    </row>
    <row r="154" spans="1:14" s="10" customFormat="1" ht="12" customHeight="1">
      <c r="A154" s="270"/>
      <c r="B154" s="197" t="s">
        <v>121</v>
      </c>
      <c r="C154" s="5"/>
      <c r="D154" s="7" t="s">
        <v>8</v>
      </c>
      <c r="E154" s="8">
        <f aca="true" t="shared" si="32" ref="E154:K154">E155</f>
        <v>219.6</v>
      </c>
      <c r="F154" s="8">
        <f t="shared" si="32"/>
        <v>238</v>
      </c>
      <c r="G154" s="8">
        <f t="shared" si="32"/>
        <v>332</v>
      </c>
      <c r="H154" s="8">
        <f t="shared" si="32"/>
        <v>174</v>
      </c>
      <c r="I154" s="57">
        <f t="shared" si="22"/>
        <v>52.40963855421686</v>
      </c>
      <c r="J154" s="8">
        <f t="shared" si="32"/>
        <v>332</v>
      </c>
      <c r="K154" s="8">
        <f t="shared" si="32"/>
        <v>271</v>
      </c>
      <c r="L154" s="8">
        <f t="shared" si="31"/>
        <v>81.62650602409639</v>
      </c>
      <c r="M154" s="57">
        <f t="shared" si="27"/>
        <v>0.0009166476962238438</v>
      </c>
      <c r="N154" s="57">
        <f t="shared" si="28"/>
        <v>0.0005419790312648636</v>
      </c>
    </row>
    <row r="155" spans="1:14" ht="34.5" customHeight="1">
      <c r="A155" s="270"/>
      <c r="B155" s="205"/>
      <c r="C155" s="6" t="s">
        <v>117</v>
      </c>
      <c r="D155" s="9" t="s">
        <v>68</v>
      </c>
      <c r="E155" s="4">
        <v>219.6</v>
      </c>
      <c r="F155" s="4">
        <v>238</v>
      </c>
      <c r="G155" s="4">
        <v>332</v>
      </c>
      <c r="H155" s="4">
        <v>174</v>
      </c>
      <c r="I155" s="57">
        <f aca="true" t="shared" si="33" ref="I155:I199">H155/G155*100</f>
        <v>52.40963855421686</v>
      </c>
      <c r="J155" s="207">
        <v>332</v>
      </c>
      <c r="K155" s="207">
        <v>271</v>
      </c>
      <c r="L155" s="8">
        <f t="shared" si="31"/>
        <v>81.62650602409639</v>
      </c>
      <c r="M155" s="57">
        <f t="shared" si="27"/>
        <v>0.0009166476962238438</v>
      </c>
      <c r="N155" s="57">
        <f t="shared" si="28"/>
        <v>0.0005419790312648636</v>
      </c>
    </row>
    <row r="156" spans="1:14" ht="12.75">
      <c r="A156" s="265">
        <v>852</v>
      </c>
      <c r="B156" s="197"/>
      <c r="C156" s="5"/>
      <c r="D156" s="7" t="s">
        <v>65</v>
      </c>
      <c r="E156" s="8" t="e">
        <f>#REF!+E160+E163+E169+E177+E185+E157+E167+E165+#REF!+E183+#REF!+#REF!</f>
        <v>#REF!</v>
      </c>
      <c r="F156" s="8" t="e">
        <f>#REF!+F160+F163+F169+F177+F185+F157+F167+F165+#REF!+F183+#REF!+#REF!</f>
        <v>#REF!</v>
      </c>
      <c r="G156" s="8" t="e">
        <f>G157+#REF!+#REF!+#REF!+#REF!+G160+G163+G165+G167+G169+G175+G177+G183+G185</f>
        <v>#REF!</v>
      </c>
      <c r="H156" s="8" t="e">
        <f>H157+#REF!+#REF!+#REF!+#REF!+H160+H163+H165+H167+H169+H175+H177+H183+H185</f>
        <v>#REF!</v>
      </c>
      <c r="I156" s="57" t="e">
        <f t="shared" si="33"/>
        <v>#REF!</v>
      </c>
      <c r="J156" s="8">
        <f>J157++J160+J163+J165+J167+J169+J175+J177+J183+J185</f>
        <v>682025.5</v>
      </c>
      <c r="K156" s="8">
        <f>K157++K160+K163+K165+K167+K169+K175+K177+K183+K185</f>
        <v>2181824</v>
      </c>
      <c r="L156" s="8">
        <f t="shared" si="31"/>
        <v>319.90358131770734</v>
      </c>
      <c r="M156" s="57">
        <f t="shared" si="27"/>
        <v>1.8830635642798645</v>
      </c>
      <c r="N156" s="57">
        <f t="shared" si="28"/>
        <v>4.36347918048129</v>
      </c>
    </row>
    <row r="157" spans="1:14" ht="12.75">
      <c r="A157" s="265"/>
      <c r="B157" s="266" t="s">
        <v>144</v>
      </c>
      <c r="C157" s="5"/>
      <c r="D157" s="7" t="s">
        <v>170</v>
      </c>
      <c r="E157" s="8">
        <f aca="true" t="shared" si="34" ref="E157:K157">E159+E158</f>
        <v>23945.670000000002</v>
      </c>
      <c r="F157" s="8">
        <f t="shared" si="34"/>
        <v>32414</v>
      </c>
      <c r="G157" s="8">
        <f t="shared" si="34"/>
        <v>32414</v>
      </c>
      <c r="H157" s="8">
        <f t="shared" si="34"/>
        <v>22786.24</v>
      </c>
      <c r="I157" s="57">
        <f t="shared" si="33"/>
        <v>70.29752576047387</v>
      </c>
      <c r="J157" s="8">
        <f t="shared" si="34"/>
        <v>31000.5</v>
      </c>
      <c r="K157" s="8">
        <f t="shared" si="34"/>
        <v>32001</v>
      </c>
      <c r="L157" s="8">
        <f t="shared" si="31"/>
        <v>103.22736730052742</v>
      </c>
      <c r="M157" s="57">
        <f t="shared" si="27"/>
        <v>0.08559197863490141</v>
      </c>
      <c r="N157" s="57">
        <f t="shared" si="28"/>
        <v>0.06399952390961955</v>
      </c>
    </row>
    <row r="158" spans="1:14" ht="12.75">
      <c r="A158" s="265"/>
      <c r="B158" s="266"/>
      <c r="C158" s="6" t="s">
        <v>93</v>
      </c>
      <c r="D158" s="9" t="s">
        <v>16</v>
      </c>
      <c r="E158" s="4">
        <v>6.79</v>
      </c>
      <c r="F158" s="4"/>
      <c r="G158" s="4"/>
      <c r="H158" s="4">
        <v>0.24</v>
      </c>
      <c r="I158" s="57" t="e">
        <f t="shared" si="33"/>
        <v>#DIV/0!</v>
      </c>
      <c r="J158" s="4">
        <v>0.5</v>
      </c>
      <c r="K158" s="4">
        <v>1</v>
      </c>
      <c r="L158" s="8">
        <f t="shared" si="31"/>
        <v>200</v>
      </c>
      <c r="M158" s="57">
        <f t="shared" si="27"/>
        <v>1.3804935184094032E-06</v>
      </c>
      <c r="N158" s="57">
        <f t="shared" si="28"/>
        <v>1.9999226245935927E-06</v>
      </c>
    </row>
    <row r="159" spans="1:14" ht="12.75">
      <c r="A159" s="265"/>
      <c r="B159" s="283"/>
      <c r="C159" s="6" t="s">
        <v>90</v>
      </c>
      <c r="D159" s="9" t="s">
        <v>7</v>
      </c>
      <c r="E159" s="4">
        <v>23938.88</v>
      </c>
      <c r="F159" s="4">
        <v>32414</v>
      </c>
      <c r="G159" s="4">
        <v>32414</v>
      </c>
      <c r="H159" s="4">
        <v>22786</v>
      </c>
      <c r="I159" s="57">
        <f t="shared" si="33"/>
        <v>70.29678533966805</v>
      </c>
      <c r="J159" s="207">
        <v>31000</v>
      </c>
      <c r="K159" s="207">
        <v>32000</v>
      </c>
      <c r="L159" s="8">
        <f t="shared" si="31"/>
        <v>103.2258064516129</v>
      </c>
      <c r="M159" s="57">
        <f t="shared" si="27"/>
        <v>0.08559059814138299</v>
      </c>
      <c r="N159" s="57">
        <f t="shared" si="28"/>
        <v>0.06399752398699496</v>
      </c>
    </row>
    <row r="160" spans="1:14" ht="43.5" customHeight="1">
      <c r="A160" s="284"/>
      <c r="B160" s="243">
        <v>85213</v>
      </c>
      <c r="C160" s="5"/>
      <c r="D160" s="7" t="s">
        <v>69</v>
      </c>
      <c r="E160" s="8">
        <f aca="true" t="shared" si="35" ref="E160:K160">E161+E162</f>
        <v>51598.86</v>
      </c>
      <c r="F160" s="8">
        <f t="shared" si="35"/>
        <v>56376</v>
      </c>
      <c r="G160" s="8">
        <f t="shared" si="35"/>
        <v>53040</v>
      </c>
      <c r="H160" s="8">
        <f t="shared" si="35"/>
        <v>34472</v>
      </c>
      <c r="I160" s="57">
        <f t="shared" si="33"/>
        <v>64.99245852187029</v>
      </c>
      <c r="J160" s="8">
        <f t="shared" si="35"/>
        <v>53040</v>
      </c>
      <c r="K160" s="8">
        <f t="shared" si="35"/>
        <v>22107</v>
      </c>
      <c r="L160" s="8">
        <f aca="true" t="shared" si="36" ref="L160:L165">K160/J160*100</f>
        <v>41.67986425339367</v>
      </c>
      <c r="M160" s="57">
        <f t="shared" si="27"/>
        <v>0.14644275243286947</v>
      </c>
      <c r="N160" s="57">
        <f t="shared" si="28"/>
        <v>0.044212289461890555</v>
      </c>
    </row>
    <row r="161" spans="1:14" ht="32.25" customHeight="1">
      <c r="A161" s="284"/>
      <c r="B161" s="244"/>
      <c r="C161" s="6">
        <v>2010</v>
      </c>
      <c r="D161" s="9" t="s">
        <v>68</v>
      </c>
      <c r="E161" s="4">
        <v>31174.32</v>
      </c>
      <c r="F161" s="4">
        <v>32926</v>
      </c>
      <c r="G161" s="4">
        <v>31625</v>
      </c>
      <c r="H161" s="4">
        <v>20558</v>
      </c>
      <c r="I161" s="57">
        <f t="shared" si="33"/>
        <v>65.00553359683795</v>
      </c>
      <c r="J161" s="207">
        <v>31625</v>
      </c>
      <c r="K161" s="220"/>
      <c r="L161" s="8">
        <f t="shared" si="36"/>
        <v>0</v>
      </c>
      <c r="M161" s="57">
        <f t="shared" si="27"/>
        <v>0.08731621503939474</v>
      </c>
      <c r="N161" s="57">
        <f t="shared" si="28"/>
        <v>0</v>
      </c>
    </row>
    <row r="162" spans="1:14" ht="32.25" customHeight="1">
      <c r="A162" s="284"/>
      <c r="B162" s="245"/>
      <c r="C162" s="6" t="s">
        <v>112</v>
      </c>
      <c r="D162" s="9" t="s">
        <v>71</v>
      </c>
      <c r="E162" s="4">
        <v>20424.54</v>
      </c>
      <c r="F162" s="4">
        <v>23450</v>
      </c>
      <c r="G162" s="4">
        <v>21415</v>
      </c>
      <c r="H162" s="4">
        <v>13914</v>
      </c>
      <c r="I162" s="57">
        <f t="shared" si="33"/>
        <v>64.97314966145225</v>
      </c>
      <c r="J162" s="207">
        <v>21415</v>
      </c>
      <c r="K162" s="207">
        <v>22107</v>
      </c>
      <c r="L162" s="8">
        <f t="shared" si="36"/>
        <v>103.23137987392015</v>
      </c>
      <c r="M162" s="57">
        <f t="shared" si="27"/>
        <v>0.05912653739347473</v>
      </c>
      <c r="N162" s="57">
        <f t="shared" si="28"/>
        <v>0.044212289461890555</v>
      </c>
    </row>
    <row r="163" spans="1:14" s="10" customFormat="1" ht="21" customHeight="1">
      <c r="A163" s="284"/>
      <c r="B163" s="243">
        <v>85214</v>
      </c>
      <c r="C163" s="5"/>
      <c r="D163" s="7" t="s">
        <v>70</v>
      </c>
      <c r="E163" s="8">
        <f aca="true" t="shared" si="37" ref="E163:K163">E164</f>
        <v>56222</v>
      </c>
      <c r="F163" s="8">
        <f t="shared" si="37"/>
        <v>49057</v>
      </c>
      <c r="G163" s="8">
        <f t="shared" si="37"/>
        <v>49617</v>
      </c>
      <c r="H163" s="8">
        <f t="shared" si="37"/>
        <v>40834</v>
      </c>
      <c r="I163" s="57">
        <f t="shared" si="33"/>
        <v>82.29840578833867</v>
      </c>
      <c r="J163" s="8">
        <f t="shared" si="37"/>
        <v>49617</v>
      </c>
      <c r="K163" s="8">
        <f t="shared" si="37"/>
        <v>55839</v>
      </c>
      <c r="L163" s="8">
        <f t="shared" si="36"/>
        <v>112.54005683535885</v>
      </c>
      <c r="M163" s="57">
        <f t="shared" si="27"/>
        <v>0.1369918938058387</v>
      </c>
      <c r="N163" s="57">
        <f t="shared" si="28"/>
        <v>0.11167367943468161</v>
      </c>
    </row>
    <row r="164" spans="1:14" ht="33.75" customHeight="1">
      <c r="A164" s="284"/>
      <c r="B164" s="245"/>
      <c r="C164" s="6">
        <v>2030</v>
      </c>
      <c r="D164" s="9" t="s">
        <v>71</v>
      </c>
      <c r="E164" s="4">
        <v>56222</v>
      </c>
      <c r="F164" s="4">
        <v>49057</v>
      </c>
      <c r="G164" s="4">
        <v>49617</v>
      </c>
      <c r="H164" s="4">
        <v>40834</v>
      </c>
      <c r="I164" s="57">
        <f t="shared" si="33"/>
        <v>82.29840578833867</v>
      </c>
      <c r="J164" s="207">
        <v>49617</v>
      </c>
      <c r="K164" s="207">
        <v>55839</v>
      </c>
      <c r="L164" s="8">
        <f t="shared" si="36"/>
        <v>112.54005683535885</v>
      </c>
      <c r="M164" s="57">
        <f t="shared" si="27"/>
        <v>0.1369918938058387</v>
      </c>
      <c r="N164" s="57">
        <f t="shared" si="28"/>
        <v>0.11167367943468161</v>
      </c>
    </row>
    <row r="165" spans="1:14" s="52" customFormat="1" ht="12" customHeight="1">
      <c r="A165" s="284"/>
      <c r="B165" s="202">
        <v>85215</v>
      </c>
      <c r="C165" s="5"/>
      <c r="D165" s="7" t="s">
        <v>257</v>
      </c>
      <c r="E165" s="8">
        <f aca="true" t="shared" si="38" ref="E165:K165">E166</f>
        <v>7346</v>
      </c>
      <c r="F165" s="8">
        <f t="shared" si="38"/>
        <v>7800.37</v>
      </c>
      <c r="G165" s="8">
        <f t="shared" si="38"/>
        <v>5671</v>
      </c>
      <c r="H165" s="8">
        <f t="shared" si="38"/>
        <v>5666</v>
      </c>
      <c r="I165" s="57">
        <f t="shared" si="33"/>
        <v>99.91183212837242</v>
      </c>
      <c r="J165" s="8">
        <f t="shared" si="38"/>
        <v>5671</v>
      </c>
      <c r="K165" s="8">
        <f t="shared" si="38"/>
        <v>7670</v>
      </c>
      <c r="L165" s="8">
        <f t="shared" si="36"/>
        <v>135.24951507670605</v>
      </c>
      <c r="M165" s="57">
        <f t="shared" si="27"/>
        <v>0.015657557485799452</v>
      </c>
      <c r="N165" s="57">
        <f t="shared" si="28"/>
        <v>0.015339406530632854</v>
      </c>
    </row>
    <row r="166" spans="1:14" ht="31.5" customHeight="1">
      <c r="A166" s="284"/>
      <c r="B166" s="198"/>
      <c r="C166" s="6" t="s">
        <v>117</v>
      </c>
      <c r="D166" s="9" t="s">
        <v>68</v>
      </c>
      <c r="E166" s="4">
        <v>7346</v>
      </c>
      <c r="F166" s="4">
        <v>7800.37</v>
      </c>
      <c r="G166" s="4">
        <v>5671</v>
      </c>
      <c r="H166" s="4">
        <v>5666</v>
      </c>
      <c r="I166" s="57">
        <f t="shared" si="33"/>
        <v>99.91183212837242</v>
      </c>
      <c r="J166" s="207">
        <v>5671</v>
      </c>
      <c r="K166" s="220">
        <v>7670</v>
      </c>
      <c r="L166" s="8">
        <f aca="true" t="shared" si="39" ref="L166:L222">K166/J166*100</f>
        <v>135.24951507670605</v>
      </c>
      <c r="M166" s="57">
        <f aca="true" t="shared" si="40" ref="M166:M171">(J166/$J$242)*100</f>
        <v>0.015657557485799452</v>
      </c>
      <c r="N166" s="57">
        <f aca="true" t="shared" si="41" ref="N166:N171">(K166/$K$242)*100</f>
        <v>0.015339406530632854</v>
      </c>
    </row>
    <row r="167" spans="1:14" s="52" customFormat="1" ht="12.75">
      <c r="A167" s="284"/>
      <c r="B167" s="248">
        <v>85216</v>
      </c>
      <c r="C167" s="5"/>
      <c r="D167" s="7" t="s">
        <v>195</v>
      </c>
      <c r="E167" s="8">
        <f aca="true" t="shared" si="42" ref="E167:K167">E168</f>
        <v>241173.34</v>
      </c>
      <c r="F167" s="8">
        <f t="shared" si="42"/>
        <v>194555</v>
      </c>
      <c r="G167" s="8">
        <f t="shared" si="42"/>
        <v>182829</v>
      </c>
      <c r="H167" s="8">
        <f t="shared" si="42"/>
        <v>162026</v>
      </c>
      <c r="I167" s="57">
        <f t="shared" si="33"/>
        <v>88.62160816938231</v>
      </c>
      <c r="J167" s="8">
        <f t="shared" si="42"/>
        <v>182829</v>
      </c>
      <c r="K167" s="8">
        <f t="shared" si="42"/>
        <v>186583</v>
      </c>
      <c r="L167" s="8">
        <f t="shared" si="39"/>
        <v>102.0532847633581</v>
      </c>
      <c r="M167" s="57">
        <f t="shared" si="40"/>
        <v>0.5047884989545455</v>
      </c>
      <c r="N167" s="57">
        <f t="shared" si="41"/>
        <v>0.3731515630645463</v>
      </c>
    </row>
    <row r="168" spans="1:14" s="51" customFormat="1" ht="35.25" customHeight="1">
      <c r="A168" s="284"/>
      <c r="B168" s="245"/>
      <c r="C168" s="6" t="s">
        <v>112</v>
      </c>
      <c r="D168" s="9" t="s">
        <v>71</v>
      </c>
      <c r="E168" s="4">
        <v>241173.34</v>
      </c>
      <c r="F168" s="4">
        <v>194555</v>
      </c>
      <c r="G168" s="4">
        <v>182829</v>
      </c>
      <c r="H168" s="4">
        <v>162026</v>
      </c>
      <c r="I168" s="57">
        <f t="shared" si="33"/>
        <v>88.62160816938231</v>
      </c>
      <c r="J168" s="207">
        <v>182829</v>
      </c>
      <c r="K168" s="207">
        <v>186583</v>
      </c>
      <c r="L168" s="8">
        <f t="shared" si="39"/>
        <v>102.0532847633581</v>
      </c>
      <c r="M168" s="57">
        <f t="shared" si="40"/>
        <v>0.5047884989545455</v>
      </c>
      <c r="N168" s="57">
        <f t="shared" si="41"/>
        <v>0.3731515630645463</v>
      </c>
    </row>
    <row r="169" spans="1:14" ht="13.5" customHeight="1">
      <c r="A169" s="284"/>
      <c r="B169" s="197">
        <v>85219</v>
      </c>
      <c r="C169" s="5"/>
      <c r="D169" s="7" t="s">
        <v>72</v>
      </c>
      <c r="E169" s="8" t="e">
        <f>E171+E172+E173+E174+#REF!+E170</f>
        <v>#REF!</v>
      </c>
      <c r="F169" s="8" t="e">
        <f>F171+F172+F173+F174+#REF!+F170</f>
        <v>#REF!</v>
      </c>
      <c r="G169" s="8" t="e">
        <f>G171+G172+G173+G174+#REF!+G170</f>
        <v>#REF!</v>
      </c>
      <c r="H169" s="8" t="e">
        <f>H171+H172+H173+H174+#REF!+H170</f>
        <v>#REF!</v>
      </c>
      <c r="I169" s="57" t="e">
        <f t="shared" si="33"/>
        <v>#REF!</v>
      </c>
      <c r="J169" s="8">
        <f>J171+J172+J173+J174+J170</f>
        <v>115212</v>
      </c>
      <c r="K169" s="8">
        <f>K171+K172+K173+K174+K170</f>
        <v>115920</v>
      </c>
      <c r="L169" s="8">
        <f t="shared" si="39"/>
        <v>100.61451932090408</v>
      </c>
      <c r="M169" s="57">
        <f t="shared" si="40"/>
        <v>0.3180988384859683</v>
      </c>
      <c r="N169" s="57">
        <f t="shared" si="41"/>
        <v>0.23183103064288924</v>
      </c>
    </row>
    <row r="170" spans="1:14" s="29" customFormat="1" ht="32.25" customHeight="1">
      <c r="A170" s="284"/>
      <c r="B170" s="206"/>
      <c r="C170" s="6" t="s">
        <v>323</v>
      </c>
      <c r="D170" s="9" t="s">
        <v>333</v>
      </c>
      <c r="E170" s="4">
        <v>58</v>
      </c>
      <c r="F170" s="4"/>
      <c r="G170" s="4"/>
      <c r="H170" s="4">
        <v>81.2</v>
      </c>
      <c r="I170" s="57" t="e">
        <f t="shared" si="33"/>
        <v>#DIV/0!</v>
      </c>
      <c r="J170" s="4">
        <v>120</v>
      </c>
      <c r="K170" s="4">
        <v>150</v>
      </c>
      <c r="L170" s="8">
        <f t="shared" si="39"/>
        <v>125</v>
      </c>
      <c r="M170" s="57">
        <f t="shared" si="40"/>
        <v>0.00033131844441825674</v>
      </c>
      <c r="N170" s="57">
        <f t="shared" si="41"/>
        <v>0.0002999883936890389</v>
      </c>
    </row>
    <row r="171" spans="1:14" ht="12.75">
      <c r="A171" s="284"/>
      <c r="B171" s="246"/>
      <c r="C171" s="6" t="s">
        <v>96</v>
      </c>
      <c r="D171" s="9" t="s">
        <v>25</v>
      </c>
      <c r="E171" s="4">
        <v>3170.43</v>
      </c>
      <c r="F171" s="4">
        <v>2659.8</v>
      </c>
      <c r="G171" s="4">
        <v>2659.8</v>
      </c>
      <c r="H171" s="4">
        <v>3099.32</v>
      </c>
      <c r="I171" s="57">
        <f t="shared" si="33"/>
        <v>116.5245507180991</v>
      </c>
      <c r="J171" s="4">
        <v>2600</v>
      </c>
      <c r="K171" s="4">
        <v>3000</v>
      </c>
      <c r="L171" s="8">
        <f t="shared" si="39"/>
        <v>115.38461538461537</v>
      </c>
      <c r="M171" s="57">
        <f t="shared" si="40"/>
        <v>0.007178566295728896</v>
      </c>
      <c r="N171" s="57">
        <f t="shared" si="41"/>
        <v>0.005999767873780777</v>
      </c>
    </row>
    <row r="172" spans="1:14" ht="12.75">
      <c r="A172" s="284"/>
      <c r="B172" s="246"/>
      <c r="C172" s="6" t="s">
        <v>93</v>
      </c>
      <c r="D172" s="9" t="s">
        <v>16</v>
      </c>
      <c r="E172" s="4">
        <v>1796.92</v>
      </c>
      <c r="F172" s="4">
        <v>1728.87</v>
      </c>
      <c r="G172" s="4">
        <v>1728.87</v>
      </c>
      <c r="H172" s="4">
        <v>1678.21</v>
      </c>
      <c r="I172" s="57">
        <f t="shared" si="33"/>
        <v>97.06976233030824</v>
      </c>
      <c r="J172" s="4">
        <v>2000</v>
      </c>
      <c r="K172" s="4">
        <v>2300</v>
      </c>
      <c r="L172" s="8">
        <f t="shared" si="39"/>
        <v>114.99999999999999</v>
      </c>
      <c r="M172" s="57">
        <f aca="true" t="shared" si="43" ref="M172:M204">(J172/$J$242)*100</f>
        <v>0.005521974073637613</v>
      </c>
      <c r="N172" s="57">
        <f aca="true" t="shared" si="44" ref="N172:N204">(K172/$K$242)*100</f>
        <v>0.004599822036565263</v>
      </c>
    </row>
    <row r="173" spans="1:14" ht="13.5" customHeight="1">
      <c r="A173" s="284"/>
      <c r="B173" s="246"/>
      <c r="C173" s="6" t="s">
        <v>90</v>
      </c>
      <c r="D173" s="9" t="s">
        <v>7</v>
      </c>
      <c r="E173" s="4">
        <v>208.56</v>
      </c>
      <c r="F173" s="4">
        <v>197.44</v>
      </c>
      <c r="G173" s="4">
        <v>197.44</v>
      </c>
      <c r="H173" s="4">
        <v>180.38</v>
      </c>
      <c r="I173" s="57">
        <f t="shared" si="33"/>
        <v>91.3594003241491</v>
      </c>
      <c r="J173" s="4">
        <v>200</v>
      </c>
      <c r="K173" s="4">
        <v>250</v>
      </c>
      <c r="L173" s="8">
        <f t="shared" si="39"/>
        <v>125</v>
      </c>
      <c r="M173" s="57">
        <f t="shared" si="43"/>
        <v>0.0005521974073637613</v>
      </c>
      <c r="N173" s="57">
        <f t="shared" si="44"/>
        <v>0.0004999806561483981</v>
      </c>
    </row>
    <row r="174" spans="1:14" ht="33" customHeight="1">
      <c r="A174" s="284"/>
      <c r="B174" s="246"/>
      <c r="C174" s="6">
        <v>2030</v>
      </c>
      <c r="D174" s="9" t="s">
        <v>73</v>
      </c>
      <c r="E174" s="4">
        <v>135892</v>
      </c>
      <c r="F174" s="4">
        <v>110292</v>
      </c>
      <c r="G174" s="4">
        <v>110292</v>
      </c>
      <c r="H174" s="4">
        <v>85035</v>
      </c>
      <c r="I174" s="57">
        <f t="shared" si="33"/>
        <v>77.0998803177021</v>
      </c>
      <c r="J174" s="207">
        <v>110292</v>
      </c>
      <c r="K174" s="207">
        <v>110220</v>
      </c>
      <c r="L174" s="8">
        <f t="shared" si="39"/>
        <v>99.93471874659994</v>
      </c>
      <c r="M174" s="57">
        <f t="shared" si="43"/>
        <v>0.30451478226481976</v>
      </c>
      <c r="N174" s="57">
        <f t="shared" si="44"/>
        <v>0.22043147168270574</v>
      </c>
    </row>
    <row r="175" spans="1:14" ht="35.25" customHeight="1">
      <c r="A175" s="284"/>
      <c r="B175" s="235" t="s">
        <v>415</v>
      </c>
      <c r="C175" s="6"/>
      <c r="D175" s="9" t="s">
        <v>474</v>
      </c>
      <c r="E175" s="4"/>
      <c r="F175" s="4"/>
      <c r="G175" s="8">
        <f aca="true" t="shared" si="45" ref="G175:L175">SUM(G176)</f>
        <v>42556</v>
      </c>
      <c r="H175" s="8">
        <f t="shared" si="45"/>
        <v>42556</v>
      </c>
      <c r="I175" s="8">
        <f t="shared" si="45"/>
        <v>100</v>
      </c>
      <c r="J175" s="8">
        <f t="shared" si="45"/>
        <v>42556</v>
      </c>
      <c r="K175" s="8">
        <f t="shared" si="45"/>
        <v>0</v>
      </c>
      <c r="L175" s="8">
        <f t="shared" si="45"/>
        <v>0</v>
      </c>
      <c r="M175" s="57">
        <f t="shared" si="43"/>
        <v>0.1174965643388611</v>
      </c>
      <c r="N175" s="57">
        <f t="shared" si="44"/>
        <v>0</v>
      </c>
    </row>
    <row r="176" spans="1:14" ht="47.25" customHeight="1">
      <c r="A176" s="284"/>
      <c r="B176" s="236"/>
      <c r="C176" s="6" t="s">
        <v>291</v>
      </c>
      <c r="D176" s="9" t="s">
        <v>472</v>
      </c>
      <c r="E176" s="4"/>
      <c r="F176" s="4"/>
      <c r="G176" s="4">
        <v>42556</v>
      </c>
      <c r="H176" s="4">
        <v>42556</v>
      </c>
      <c r="I176" s="57">
        <f t="shared" si="33"/>
        <v>100</v>
      </c>
      <c r="J176" s="4">
        <v>42556</v>
      </c>
      <c r="K176" s="207">
        <v>0</v>
      </c>
      <c r="L176" s="8"/>
      <c r="M176" s="57">
        <f t="shared" si="43"/>
        <v>0.1174965643388611</v>
      </c>
      <c r="N176" s="57">
        <f t="shared" si="44"/>
        <v>0</v>
      </c>
    </row>
    <row r="177" spans="1:14" ht="23.25" customHeight="1">
      <c r="A177" s="284"/>
      <c r="B177" s="243">
        <v>85228</v>
      </c>
      <c r="C177" s="5"/>
      <c r="D177" s="7" t="s">
        <v>74</v>
      </c>
      <c r="E177" s="8" t="e">
        <f>E179+#REF!+E178+E180</f>
        <v>#REF!</v>
      </c>
      <c r="F177" s="8" t="e">
        <f>F179+#REF!+F178+F180</f>
        <v>#REF!</v>
      </c>
      <c r="G177" s="8" t="e">
        <f>G179+#REF!+G178+G180+G181</f>
        <v>#REF!</v>
      </c>
      <c r="H177" s="8" t="e">
        <f>H179+#REF!+H178+H180+H181</f>
        <v>#REF!</v>
      </c>
      <c r="I177" s="57" t="e">
        <f t="shared" si="33"/>
        <v>#REF!</v>
      </c>
      <c r="J177" s="8">
        <f>J179+J178+J180</f>
        <v>58050</v>
      </c>
      <c r="K177" s="8">
        <f>K179+K178+K180+K181</f>
        <v>66060</v>
      </c>
      <c r="L177" s="8">
        <f t="shared" si="39"/>
        <v>113.7984496124031</v>
      </c>
      <c r="M177" s="57">
        <f t="shared" si="43"/>
        <v>0.1602752974873317</v>
      </c>
      <c r="N177" s="57">
        <f t="shared" si="44"/>
        <v>0.1321148885806527</v>
      </c>
    </row>
    <row r="178" spans="1:14" ht="35.25" customHeight="1">
      <c r="A178" s="284"/>
      <c r="B178" s="247"/>
      <c r="C178" s="6" t="s">
        <v>323</v>
      </c>
      <c r="D178" s="9" t="s">
        <v>333</v>
      </c>
      <c r="E178" s="4">
        <v>46.4</v>
      </c>
      <c r="F178" s="4">
        <v>11.87</v>
      </c>
      <c r="G178" s="4">
        <v>11.87</v>
      </c>
      <c r="H178" s="4">
        <v>46.4</v>
      </c>
      <c r="I178" s="57">
        <f t="shared" si="33"/>
        <v>390.90143218197136</v>
      </c>
      <c r="J178" s="4">
        <v>50</v>
      </c>
      <c r="K178" s="4">
        <v>60</v>
      </c>
      <c r="L178" s="8">
        <f t="shared" si="39"/>
        <v>120</v>
      </c>
      <c r="M178" s="57">
        <f t="shared" si="43"/>
        <v>0.0001380493518409403</v>
      </c>
      <c r="N178" s="57">
        <f t="shared" si="44"/>
        <v>0.00011999535747561555</v>
      </c>
    </row>
    <row r="179" spans="1:14" ht="12.75">
      <c r="A179" s="284"/>
      <c r="B179" s="251"/>
      <c r="C179" s="6" t="s">
        <v>96</v>
      </c>
      <c r="D179" s="9" t="s">
        <v>25</v>
      </c>
      <c r="E179" s="4">
        <v>53823.53</v>
      </c>
      <c r="F179" s="4">
        <v>53981.03</v>
      </c>
      <c r="G179" s="4">
        <v>53981.03</v>
      </c>
      <c r="H179" s="4">
        <v>43558.29</v>
      </c>
      <c r="I179" s="57">
        <f t="shared" si="33"/>
        <v>80.6918467469035</v>
      </c>
      <c r="J179" s="4">
        <v>58000</v>
      </c>
      <c r="K179" s="4">
        <v>60000</v>
      </c>
      <c r="L179" s="8">
        <f t="shared" si="39"/>
        <v>103.44827586206897</v>
      </c>
      <c r="M179" s="57">
        <f t="shared" si="43"/>
        <v>0.16013724813549074</v>
      </c>
      <c r="N179" s="57">
        <f t="shared" si="44"/>
        <v>0.11999535747561556</v>
      </c>
    </row>
    <row r="180" spans="1:14" ht="12.75">
      <c r="A180" s="284"/>
      <c r="B180" s="199"/>
      <c r="C180" s="6" t="s">
        <v>90</v>
      </c>
      <c r="D180" s="9" t="s">
        <v>7</v>
      </c>
      <c r="E180" s="4">
        <v>0.72</v>
      </c>
      <c r="F180" s="4"/>
      <c r="G180" s="4"/>
      <c r="H180" s="4"/>
      <c r="I180" s="57" t="e">
        <f t="shared" si="33"/>
        <v>#DIV/0!</v>
      </c>
      <c r="J180" s="4"/>
      <c r="K180" s="4"/>
      <c r="L180" s="8"/>
      <c r="M180" s="57">
        <f t="shared" si="43"/>
        <v>0</v>
      </c>
      <c r="N180" s="57">
        <f t="shared" si="44"/>
        <v>0</v>
      </c>
    </row>
    <row r="181" spans="1:14" ht="33.75">
      <c r="A181" s="284"/>
      <c r="B181" s="199"/>
      <c r="C181" s="6" t="s">
        <v>112</v>
      </c>
      <c r="D181" s="9" t="s">
        <v>73</v>
      </c>
      <c r="E181" s="4"/>
      <c r="F181" s="4"/>
      <c r="G181" s="4">
        <v>0</v>
      </c>
      <c r="H181" s="4">
        <v>5490</v>
      </c>
      <c r="I181" s="57" t="e">
        <f t="shared" si="33"/>
        <v>#DIV/0!</v>
      </c>
      <c r="J181" s="207"/>
      <c r="K181" s="207">
        <v>6000</v>
      </c>
      <c r="L181" s="8"/>
      <c r="M181" s="57">
        <f t="shared" si="43"/>
        <v>0</v>
      </c>
      <c r="N181" s="57">
        <f t="shared" si="44"/>
        <v>0.011999535747561555</v>
      </c>
    </row>
    <row r="182" spans="1:14" ht="12.75">
      <c r="A182" s="284"/>
      <c r="B182" s="199"/>
      <c r="C182" s="6"/>
      <c r="D182" s="9" t="s">
        <v>484</v>
      </c>
      <c r="E182" s="4"/>
      <c r="F182" s="4"/>
      <c r="G182" s="4"/>
      <c r="H182" s="4"/>
      <c r="I182" s="57"/>
      <c r="J182" s="233">
        <v>5490</v>
      </c>
      <c r="K182" s="228"/>
      <c r="L182" s="8"/>
      <c r="M182" s="57">
        <f t="shared" si="43"/>
        <v>0.015157818832135246</v>
      </c>
      <c r="N182" s="57"/>
    </row>
    <row r="183" spans="1:14" ht="12.75" customHeight="1">
      <c r="A183" s="284"/>
      <c r="B183" s="199" t="s">
        <v>306</v>
      </c>
      <c r="C183" s="6"/>
      <c r="D183" s="7" t="s">
        <v>307</v>
      </c>
      <c r="E183" s="8">
        <f>SUM(E184:E184)</f>
        <v>130782</v>
      </c>
      <c r="F183" s="8">
        <f>F184</f>
        <v>79196</v>
      </c>
      <c r="G183" s="8">
        <f>G184</f>
        <v>144050</v>
      </c>
      <c r="H183" s="8">
        <f>H184</f>
        <v>102257</v>
      </c>
      <c r="I183" s="57">
        <f t="shared" si="33"/>
        <v>70.98715723707046</v>
      </c>
      <c r="J183" s="8">
        <f>J184</f>
        <v>144050</v>
      </c>
      <c r="K183" s="8">
        <f>K184</f>
        <v>95644</v>
      </c>
      <c r="L183" s="8">
        <f t="shared" si="39"/>
        <v>66.3963901423117</v>
      </c>
      <c r="M183" s="57">
        <f t="shared" si="43"/>
        <v>0.397720182653749</v>
      </c>
      <c r="N183" s="57">
        <f t="shared" si="44"/>
        <v>0.19128059950662957</v>
      </c>
    </row>
    <row r="184" spans="1:14" ht="34.5" customHeight="1">
      <c r="A184" s="284"/>
      <c r="B184" s="199"/>
      <c r="C184" s="6" t="s">
        <v>112</v>
      </c>
      <c r="D184" s="9" t="s">
        <v>73</v>
      </c>
      <c r="E184" s="4">
        <v>130782</v>
      </c>
      <c r="F184" s="4">
        <v>79196</v>
      </c>
      <c r="G184" s="4">
        <v>144050</v>
      </c>
      <c r="H184" s="4">
        <v>102257</v>
      </c>
      <c r="I184" s="57">
        <f t="shared" si="33"/>
        <v>70.98715723707046</v>
      </c>
      <c r="J184" s="207">
        <v>144050</v>
      </c>
      <c r="K184" s="207">
        <v>95644</v>
      </c>
      <c r="L184" s="8">
        <f t="shared" si="39"/>
        <v>66.3963901423117</v>
      </c>
      <c r="M184" s="57">
        <f t="shared" si="43"/>
        <v>0.397720182653749</v>
      </c>
      <c r="N184" s="57">
        <f t="shared" si="44"/>
        <v>0.19128059950662957</v>
      </c>
    </row>
    <row r="185" spans="1:14" ht="12.75">
      <c r="A185" s="284"/>
      <c r="B185" s="221">
        <v>85295</v>
      </c>
      <c r="C185" s="5"/>
      <c r="D185" s="7" t="s">
        <v>8</v>
      </c>
      <c r="E185" s="8" t="e">
        <f>E186+#REF!+#REF!+#REF!</f>
        <v>#REF!</v>
      </c>
      <c r="F185" s="8" t="e">
        <f>F186+#REF!+#REF!+#REF!</f>
        <v>#REF!</v>
      </c>
      <c r="G185" s="8" t="e">
        <f>G186+#REF!+#REF!+#REF!</f>
        <v>#REF!</v>
      </c>
      <c r="H185" s="8" t="e">
        <f>H186+#REF!+#REF!+#REF!</f>
        <v>#REF!</v>
      </c>
      <c r="I185" s="57" t="e">
        <f t="shared" si="33"/>
        <v>#REF!</v>
      </c>
      <c r="J185" s="8">
        <f>J186</f>
        <v>0</v>
      </c>
      <c r="K185" s="8">
        <f>K186</f>
        <v>1600000</v>
      </c>
      <c r="L185" s="8"/>
      <c r="M185" s="57">
        <f t="shared" si="43"/>
        <v>0</v>
      </c>
      <c r="N185" s="57">
        <f t="shared" si="44"/>
        <v>3.199876199349748</v>
      </c>
    </row>
    <row r="186" spans="1:14" ht="54.75" customHeight="1">
      <c r="A186" s="166"/>
      <c r="B186" s="200"/>
      <c r="C186" s="6" t="s">
        <v>193</v>
      </c>
      <c r="D186" s="9" t="s">
        <v>145</v>
      </c>
      <c r="E186" s="4"/>
      <c r="F186" s="4">
        <v>879750</v>
      </c>
      <c r="G186" s="4"/>
      <c r="H186" s="4"/>
      <c r="I186" s="57" t="e">
        <f t="shared" si="33"/>
        <v>#DIV/0!</v>
      </c>
      <c r="J186" s="4"/>
      <c r="K186" s="4">
        <v>1600000</v>
      </c>
      <c r="L186" s="8"/>
      <c r="M186" s="57">
        <f t="shared" si="43"/>
        <v>0</v>
      </c>
      <c r="N186" s="57">
        <f t="shared" si="44"/>
        <v>3.199876199349748</v>
      </c>
    </row>
    <row r="187" spans="1:14" ht="21">
      <c r="A187" s="238">
        <v>854</v>
      </c>
      <c r="B187" s="197"/>
      <c r="C187" s="6"/>
      <c r="D187" s="7" t="s">
        <v>75</v>
      </c>
      <c r="E187" s="8" t="e">
        <f aca="true" t="shared" si="46" ref="E187:K187">E188</f>
        <v>#REF!</v>
      </c>
      <c r="F187" s="8" t="e">
        <f t="shared" si="46"/>
        <v>#REF!</v>
      </c>
      <c r="G187" s="8" t="e">
        <f t="shared" si="46"/>
        <v>#REF!</v>
      </c>
      <c r="H187" s="8" t="e">
        <f t="shared" si="46"/>
        <v>#REF!</v>
      </c>
      <c r="I187" s="57" t="e">
        <f t="shared" si="33"/>
        <v>#REF!</v>
      </c>
      <c r="J187" s="8">
        <f t="shared" si="46"/>
        <v>68210</v>
      </c>
      <c r="K187" s="8">
        <f t="shared" si="46"/>
        <v>70000</v>
      </c>
      <c r="L187" s="8">
        <f t="shared" si="39"/>
        <v>102.62424864389385</v>
      </c>
      <c r="M187" s="57">
        <f t="shared" si="43"/>
        <v>0.18832692578141078</v>
      </c>
      <c r="N187" s="57">
        <f t="shared" si="44"/>
        <v>0.13999458372155146</v>
      </c>
    </row>
    <row r="188" spans="1:14" ht="11.25" customHeight="1">
      <c r="A188" s="239"/>
      <c r="B188" s="243">
        <v>85415</v>
      </c>
      <c r="C188" s="6"/>
      <c r="D188" s="7" t="s">
        <v>76</v>
      </c>
      <c r="E188" s="8" t="e">
        <f>E189+#REF!</f>
        <v>#REF!</v>
      </c>
      <c r="F188" s="8" t="e">
        <f>F189+#REF!</f>
        <v>#REF!</v>
      </c>
      <c r="G188" s="8" t="e">
        <f>G189+#REF!</f>
        <v>#REF!</v>
      </c>
      <c r="H188" s="8" t="e">
        <f>H189+#REF!</f>
        <v>#REF!</v>
      </c>
      <c r="I188" s="57" t="e">
        <f t="shared" si="33"/>
        <v>#REF!</v>
      </c>
      <c r="J188" s="8">
        <f>J189</f>
        <v>68210</v>
      </c>
      <c r="K188" s="8">
        <f>K189</f>
        <v>70000</v>
      </c>
      <c r="L188" s="8">
        <f t="shared" si="39"/>
        <v>102.62424864389385</v>
      </c>
      <c r="M188" s="57">
        <f t="shared" si="43"/>
        <v>0.18832692578141078</v>
      </c>
      <c r="N188" s="57">
        <f t="shared" si="44"/>
        <v>0.13999458372155146</v>
      </c>
    </row>
    <row r="189" spans="1:14" ht="45" customHeight="1">
      <c r="A189" s="239"/>
      <c r="B189" s="247"/>
      <c r="C189" s="6">
        <v>2030</v>
      </c>
      <c r="D189" s="9" t="s">
        <v>318</v>
      </c>
      <c r="E189" s="4">
        <v>116808</v>
      </c>
      <c r="F189" s="4"/>
      <c r="G189" s="4">
        <v>68210</v>
      </c>
      <c r="H189" s="4">
        <v>68210</v>
      </c>
      <c r="I189" s="57">
        <f t="shared" si="33"/>
        <v>100</v>
      </c>
      <c r="J189" s="207">
        <v>68210</v>
      </c>
      <c r="K189" s="207">
        <v>70000</v>
      </c>
      <c r="L189" s="8">
        <f t="shared" si="39"/>
        <v>102.62424864389385</v>
      </c>
      <c r="M189" s="57">
        <f t="shared" si="43"/>
        <v>0.18832692578141078</v>
      </c>
      <c r="N189" s="57">
        <f t="shared" si="44"/>
        <v>0.13999458372155146</v>
      </c>
    </row>
    <row r="190" spans="1:14" ht="14.25" customHeight="1">
      <c r="A190" s="280">
        <v>855</v>
      </c>
      <c r="B190" s="203"/>
      <c r="C190" s="5"/>
      <c r="D190" s="7" t="s">
        <v>312</v>
      </c>
      <c r="E190" s="192" t="e">
        <f>E191+E193+E197+E199</f>
        <v>#REF!</v>
      </c>
      <c r="F190" s="8" t="e">
        <f>F191+F193+F197+F199</f>
        <v>#REF!</v>
      </c>
      <c r="G190" s="8" t="e">
        <f>G191+G193+G197+G199</f>
        <v>#REF!</v>
      </c>
      <c r="H190" s="8" t="e">
        <f>H191+H193+H197+H199</f>
        <v>#REF!</v>
      </c>
      <c r="I190" s="57" t="e">
        <f t="shared" si="33"/>
        <v>#REF!</v>
      </c>
      <c r="J190" s="8">
        <f>J191+J193+J197+J199+J201</f>
        <v>8580179</v>
      </c>
      <c r="K190" s="8">
        <f>K191+K193+K197+K199+K201</f>
        <v>7942034.42</v>
      </c>
      <c r="L190" s="8">
        <f t="shared" si="39"/>
        <v>92.56257264562895</v>
      </c>
      <c r="M190" s="57">
        <f t="shared" si="43"/>
        <v>23.68976299258495</v>
      </c>
      <c r="N190" s="57">
        <f t="shared" si="44"/>
        <v>15.88345432185905</v>
      </c>
    </row>
    <row r="191" spans="1:14" ht="12" customHeight="1">
      <c r="A191" s="281"/>
      <c r="B191" s="203" t="s">
        <v>308</v>
      </c>
      <c r="C191" s="5"/>
      <c r="D191" s="7" t="s">
        <v>313</v>
      </c>
      <c r="E191" s="192">
        <f aca="true" t="shared" si="47" ref="E191:K191">E192</f>
        <v>5003488.94</v>
      </c>
      <c r="F191" s="8">
        <f t="shared" si="47"/>
        <v>4887384</v>
      </c>
      <c r="G191" s="8">
        <f t="shared" si="47"/>
        <v>4738548</v>
      </c>
      <c r="H191" s="8">
        <f t="shared" si="47"/>
        <v>3628825</v>
      </c>
      <c r="I191" s="57">
        <f t="shared" si="33"/>
        <v>76.58094842555145</v>
      </c>
      <c r="J191" s="8">
        <f t="shared" si="47"/>
        <v>4738548</v>
      </c>
      <c r="K191" s="8">
        <f t="shared" si="47"/>
        <v>4368854</v>
      </c>
      <c r="L191" s="8">
        <f t="shared" si="39"/>
        <v>92.19815859204128</v>
      </c>
      <c r="M191" s="57">
        <f t="shared" si="43"/>
        <v>13.08306960134368</v>
      </c>
      <c r="N191" s="57">
        <f t="shared" si="44"/>
        <v>8.737369958146216</v>
      </c>
    </row>
    <row r="192" spans="1:14" ht="43.5" customHeight="1">
      <c r="A192" s="281"/>
      <c r="B192" s="203"/>
      <c r="C192" s="6" t="s">
        <v>293</v>
      </c>
      <c r="D192" s="9" t="s">
        <v>299</v>
      </c>
      <c r="E192" s="4">
        <v>5003488.94</v>
      </c>
      <c r="F192" s="4">
        <v>4887384</v>
      </c>
      <c r="G192" s="4">
        <v>4738548</v>
      </c>
      <c r="H192" s="4">
        <v>3628825</v>
      </c>
      <c r="I192" s="57">
        <f t="shared" si="33"/>
        <v>76.58094842555145</v>
      </c>
      <c r="J192" s="207">
        <v>4738548</v>
      </c>
      <c r="K192" s="207">
        <v>4368854</v>
      </c>
      <c r="L192" s="8">
        <f t="shared" si="39"/>
        <v>92.19815859204128</v>
      </c>
      <c r="M192" s="57">
        <f t="shared" si="43"/>
        <v>13.08306960134368</v>
      </c>
      <c r="N192" s="57">
        <f t="shared" si="44"/>
        <v>8.737369958146216</v>
      </c>
    </row>
    <row r="193" spans="1:14" ht="64.5" customHeight="1">
      <c r="A193" s="281"/>
      <c r="B193" s="243" t="s">
        <v>309</v>
      </c>
      <c r="C193" s="6"/>
      <c r="D193" s="7" t="s">
        <v>314</v>
      </c>
      <c r="E193" s="8" t="e">
        <f>#REF!+#REF!+#REF!+E195+E196+E194</f>
        <v>#REF!</v>
      </c>
      <c r="F193" s="8" t="e">
        <f>#REF!+#REF!+#REF!+F195+F196+F194</f>
        <v>#REF!</v>
      </c>
      <c r="G193" s="8" t="e">
        <f>#REF!+#REF!+#REF!+G195+G196+G194</f>
        <v>#REF!</v>
      </c>
      <c r="H193" s="8" t="e">
        <f>#REF!+#REF!+#REF!+H195+H196+H194</f>
        <v>#REF!</v>
      </c>
      <c r="I193" s="57" t="e">
        <f t="shared" si="33"/>
        <v>#REF!</v>
      </c>
      <c r="J193" s="8">
        <f>J195+J196+J194</f>
        <v>3465840</v>
      </c>
      <c r="K193" s="8">
        <f>K195+K196+K194</f>
        <v>3353869</v>
      </c>
      <c r="L193" s="8">
        <f t="shared" si="39"/>
        <v>96.76929690926298</v>
      </c>
      <c r="M193" s="57">
        <f t="shared" si="43"/>
        <v>9.569139311688092</v>
      </c>
      <c r="N193" s="57">
        <f t="shared" si="44"/>
        <v>6.707478493023087</v>
      </c>
    </row>
    <row r="194" spans="1:14" ht="33.75" customHeight="1">
      <c r="A194" s="281"/>
      <c r="B194" s="247"/>
      <c r="C194" s="6" t="s">
        <v>323</v>
      </c>
      <c r="D194" s="9" t="s">
        <v>333</v>
      </c>
      <c r="E194" s="4">
        <v>375.01</v>
      </c>
      <c r="F194" s="4">
        <v>11.87</v>
      </c>
      <c r="G194" s="4">
        <v>11.87</v>
      </c>
      <c r="H194" s="4"/>
      <c r="I194" s="57">
        <f t="shared" si="33"/>
        <v>0</v>
      </c>
      <c r="J194" s="4">
        <v>10</v>
      </c>
      <c r="K194" s="4">
        <v>10</v>
      </c>
      <c r="L194" s="8">
        <f t="shared" si="39"/>
        <v>100</v>
      </c>
      <c r="M194" s="57">
        <f t="shared" si="43"/>
        <v>2.7609870368188064E-05</v>
      </c>
      <c r="N194" s="57">
        <f t="shared" si="44"/>
        <v>1.9999226245935926E-05</v>
      </c>
    </row>
    <row r="195" spans="1:14" ht="54.75" customHeight="1">
      <c r="A195" s="281"/>
      <c r="B195" s="247"/>
      <c r="C195" s="6" t="s">
        <v>117</v>
      </c>
      <c r="D195" s="9" t="s">
        <v>317</v>
      </c>
      <c r="E195" s="4">
        <v>3477140.85</v>
      </c>
      <c r="F195" s="4">
        <v>3650866</v>
      </c>
      <c r="G195" s="4">
        <v>3423830</v>
      </c>
      <c r="H195" s="4">
        <v>2522876</v>
      </c>
      <c r="I195" s="57">
        <f t="shared" si="33"/>
        <v>73.68578463299872</v>
      </c>
      <c r="J195" s="207">
        <v>3423830</v>
      </c>
      <c r="K195" s="207">
        <v>3308859</v>
      </c>
      <c r="L195" s="8">
        <f t="shared" si="39"/>
        <v>96.64203538142957</v>
      </c>
      <c r="M195" s="57">
        <f t="shared" si="43"/>
        <v>9.453150246271333</v>
      </c>
      <c r="N195" s="57">
        <f t="shared" si="44"/>
        <v>6.617461975690129</v>
      </c>
    </row>
    <row r="196" spans="1:14" ht="46.5" customHeight="1">
      <c r="A196" s="281"/>
      <c r="B196" s="251"/>
      <c r="C196" s="6" t="s">
        <v>158</v>
      </c>
      <c r="D196" s="9" t="s">
        <v>315</v>
      </c>
      <c r="E196" s="4">
        <v>18522.53</v>
      </c>
      <c r="F196" s="4"/>
      <c r="G196" s="4">
        <v>18116.52</v>
      </c>
      <c r="H196" s="4">
        <v>31471.3</v>
      </c>
      <c r="I196" s="57">
        <f t="shared" si="33"/>
        <v>173.7160337636588</v>
      </c>
      <c r="J196" s="207">
        <v>42000</v>
      </c>
      <c r="K196" s="207">
        <v>45000</v>
      </c>
      <c r="L196" s="8">
        <f t="shared" si="39"/>
        <v>107.14285714285714</v>
      </c>
      <c r="M196" s="57">
        <f t="shared" si="43"/>
        <v>0.11596145554638987</v>
      </c>
      <c r="N196" s="57">
        <f t="shared" si="44"/>
        <v>0.08999651810671166</v>
      </c>
    </row>
    <row r="197" spans="1:14" ht="11.25" customHeight="1">
      <c r="A197" s="281"/>
      <c r="B197" s="203" t="s">
        <v>310</v>
      </c>
      <c r="C197" s="5"/>
      <c r="D197" s="7" t="s">
        <v>316</v>
      </c>
      <c r="E197" s="8">
        <f aca="true" t="shared" si="48" ref="E197:K197">E198</f>
        <v>142</v>
      </c>
      <c r="F197" s="8">
        <f t="shared" si="48"/>
        <v>10</v>
      </c>
      <c r="G197" s="8">
        <f t="shared" si="48"/>
        <v>71</v>
      </c>
      <c r="H197" s="8">
        <f t="shared" si="48"/>
        <v>71</v>
      </c>
      <c r="I197" s="57">
        <f t="shared" si="33"/>
        <v>100</v>
      </c>
      <c r="J197" s="8">
        <f t="shared" si="48"/>
        <v>71</v>
      </c>
      <c r="K197" s="8">
        <f t="shared" si="48"/>
        <v>100.42</v>
      </c>
      <c r="L197" s="8">
        <f t="shared" si="39"/>
        <v>141.43661971830986</v>
      </c>
      <c r="M197" s="57">
        <f t="shared" si="43"/>
        <v>0.00019603007961413525</v>
      </c>
      <c r="N197" s="57">
        <f t="shared" si="44"/>
        <v>0.00020083222996168857</v>
      </c>
    </row>
    <row r="198" spans="1:14" ht="55.5" customHeight="1">
      <c r="A198" s="281"/>
      <c r="B198" s="203"/>
      <c r="C198" s="6" t="s">
        <v>117</v>
      </c>
      <c r="D198" s="9" t="s">
        <v>317</v>
      </c>
      <c r="E198" s="4">
        <v>142</v>
      </c>
      <c r="F198" s="4">
        <v>10</v>
      </c>
      <c r="G198" s="4">
        <v>71</v>
      </c>
      <c r="H198" s="4">
        <v>71</v>
      </c>
      <c r="I198" s="57">
        <f t="shared" si="33"/>
        <v>100</v>
      </c>
      <c r="J198" s="4">
        <v>71</v>
      </c>
      <c r="K198" s="4">
        <v>100.42</v>
      </c>
      <c r="L198" s="8">
        <f t="shared" si="39"/>
        <v>141.43661971830986</v>
      </c>
      <c r="M198" s="57">
        <f t="shared" si="43"/>
        <v>0.00019603007961413525</v>
      </c>
      <c r="N198" s="57">
        <f t="shared" si="44"/>
        <v>0.00020083222996168857</v>
      </c>
    </row>
    <row r="199" spans="1:14" ht="13.5" customHeight="1">
      <c r="A199" s="281"/>
      <c r="B199" s="203" t="s">
        <v>311</v>
      </c>
      <c r="C199" s="5"/>
      <c r="D199" s="7" t="s">
        <v>251</v>
      </c>
      <c r="E199" s="8" t="e">
        <f>#REF!</f>
        <v>#REF!</v>
      </c>
      <c r="F199" s="8" t="e">
        <f>#REF!</f>
        <v>#REF!</v>
      </c>
      <c r="G199" s="8" t="e">
        <f>#REF!+G200</f>
        <v>#REF!</v>
      </c>
      <c r="H199" s="8" t="e">
        <f>#REF!+H200</f>
        <v>#REF!</v>
      </c>
      <c r="I199" s="57" t="e">
        <f t="shared" si="33"/>
        <v>#REF!</v>
      </c>
      <c r="J199" s="8">
        <f>J200</f>
        <v>375720</v>
      </c>
      <c r="K199" s="8">
        <f>K200</f>
        <v>192965</v>
      </c>
      <c r="L199" s="8">
        <f t="shared" si="39"/>
        <v>51.35872458213563</v>
      </c>
      <c r="M199" s="57">
        <f t="shared" si="43"/>
        <v>1.037358049473562</v>
      </c>
      <c r="N199" s="57">
        <f t="shared" si="44"/>
        <v>0.3859150692547026</v>
      </c>
    </row>
    <row r="200" spans="1:14" ht="67.5">
      <c r="A200" s="281"/>
      <c r="B200" s="203"/>
      <c r="C200" s="197" t="s">
        <v>117</v>
      </c>
      <c r="D200" s="9" t="s">
        <v>317</v>
      </c>
      <c r="E200" s="8"/>
      <c r="F200" s="8"/>
      <c r="G200" s="8">
        <v>375720</v>
      </c>
      <c r="H200" s="8">
        <v>304718</v>
      </c>
      <c r="I200" s="57">
        <f aca="true" t="shared" si="49" ref="I200:I249">H200/G200*100</f>
        <v>81.10241669328224</v>
      </c>
      <c r="J200" s="209">
        <v>375720</v>
      </c>
      <c r="K200" s="209">
        <v>192965</v>
      </c>
      <c r="L200" s="8"/>
      <c r="M200" s="57">
        <f t="shared" si="43"/>
        <v>1.037358049473562</v>
      </c>
      <c r="N200" s="57">
        <f t="shared" si="44"/>
        <v>0.3859150692547026</v>
      </c>
    </row>
    <row r="201" spans="1:14" ht="27.75" customHeight="1">
      <c r="A201" s="125"/>
      <c r="B201" s="203" t="s">
        <v>465</v>
      </c>
      <c r="C201" s="5"/>
      <c r="D201" s="204" t="s">
        <v>471</v>
      </c>
      <c r="E201" s="8"/>
      <c r="F201" s="8"/>
      <c r="G201" s="8"/>
      <c r="H201" s="8"/>
      <c r="I201" s="57"/>
      <c r="J201" s="8">
        <f>J202</f>
        <v>0</v>
      </c>
      <c r="K201" s="8">
        <f>K202</f>
        <v>26246</v>
      </c>
      <c r="L201" s="4">
        <f>L202</f>
        <v>0</v>
      </c>
      <c r="M201" s="57">
        <f t="shared" si="43"/>
        <v>0</v>
      </c>
      <c r="N201" s="57">
        <f t="shared" si="44"/>
        <v>0.05248996920508343</v>
      </c>
    </row>
    <row r="202" spans="1:14" ht="47.25" customHeight="1">
      <c r="A202" s="125"/>
      <c r="B202" s="203"/>
      <c r="C202" s="6" t="s">
        <v>117</v>
      </c>
      <c r="D202" s="9" t="s">
        <v>317</v>
      </c>
      <c r="E202" s="4"/>
      <c r="F202" s="4"/>
      <c r="G202" s="4"/>
      <c r="H202" s="4"/>
      <c r="I202" s="57"/>
      <c r="J202" s="4">
        <v>0</v>
      </c>
      <c r="K202" s="4">
        <v>26246</v>
      </c>
      <c r="L202" s="8"/>
      <c r="M202" s="57">
        <f t="shared" si="43"/>
        <v>0</v>
      </c>
      <c r="N202" s="57">
        <f t="shared" si="44"/>
        <v>0.05248996920508343</v>
      </c>
    </row>
    <row r="203" spans="1:14" ht="23.25" customHeight="1">
      <c r="A203" s="238">
        <v>900</v>
      </c>
      <c r="B203" s="197"/>
      <c r="C203" s="6"/>
      <c r="D203" s="7" t="s">
        <v>77</v>
      </c>
      <c r="E203" s="192" t="e">
        <f>E204+E225+E221+E209+E218+E216+E223</f>
        <v>#REF!</v>
      </c>
      <c r="F203" s="8" t="e">
        <f>F204+F225+F221+F209+F218+F216+F223</f>
        <v>#REF!</v>
      </c>
      <c r="G203" s="8" t="e">
        <f>G204+G225+G221+G209+G218+G216+G223</f>
        <v>#REF!</v>
      </c>
      <c r="H203" s="8" t="e">
        <f>H204+H225+H221+H209+H218+H216+H223</f>
        <v>#REF!</v>
      </c>
      <c r="I203" s="57" t="e">
        <f t="shared" si="49"/>
        <v>#REF!</v>
      </c>
      <c r="J203" s="8">
        <f>J204+J225+J221+J209+J218+J216+J223</f>
        <v>1157567.48</v>
      </c>
      <c r="K203" s="8">
        <f>K204+K225+K221+K209+K218+K216+K223</f>
        <v>2769800</v>
      </c>
      <c r="L203" s="8">
        <f t="shared" si="39"/>
        <v>239.27762725331573</v>
      </c>
      <c r="M203" s="57">
        <f t="shared" si="43"/>
        <v>3.196028806523013</v>
      </c>
      <c r="N203" s="57">
        <f t="shared" si="44"/>
        <v>5.539385685599332</v>
      </c>
    </row>
    <row r="204" spans="1:14" ht="21">
      <c r="A204" s="239"/>
      <c r="B204" s="243">
        <v>90001</v>
      </c>
      <c r="C204" s="6"/>
      <c r="D204" s="7" t="s">
        <v>78</v>
      </c>
      <c r="E204" s="8">
        <f aca="true" t="shared" si="50" ref="E204:K204">E207+E205+E208+E206</f>
        <v>0</v>
      </c>
      <c r="F204" s="8">
        <f t="shared" si="50"/>
        <v>481552</v>
      </c>
      <c r="G204" s="8">
        <f t="shared" si="50"/>
        <v>2000</v>
      </c>
      <c r="H204" s="8">
        <f t="shared" si="50"/>
        <v>0</v>
      </c>
      <c r="I204" s="57">
        <f t="shared" si="49"/>
        <v>0</v>
      </c>
      <c r="J204" s="8">
        <f t="shared" si="50"/>
        <v>200</v>
      </c>
      <c r="K204" s="8">
        <f t="shared" si="50"/>
        <v>590250</v>
      </c>
      <c r="L204" s="8"/>
      <c r="M204" s="57">
        <f t="shared" si="43"/>
        <v>0.0005521974073637613</v>
      </c>
      <c r="N204" s="57">
        <f t="shared" si="44"/>
        <v>1.180454329166368</v>
      </c>
    </row>
    <row r="205" spans="1:14" ht="12.75">
      <c r="A205" s="239"/>
      <c r="B205" s="244"/>
      <c r="C205" s="6" t="s">
        <v>96</v>
      </c>
      <c r="D205" s="9" t="s">
        <v>25</v>
      </c>
      <c r="E205" s="4"/>
      <c r="F205" s="4">
        <v>1000</v>
      </c>
      <c r="G205" s="4">
        <v>1000</v>
      </c>
      <c r="H205" s="4"/>
      <c r="I205" s="57">
        <f t="shared" si="49"/>
        <v>0</v>
      </c>
      <c r="J205" s="4">
        <v>50</v>
      </c>
      <c r="K205" s="4">
        <v>200</v>
      </c>
      <c r="L205" s="8">
        <f t="shared" si="39"/>
        <v>400</v>
      </c>
      <c r="M205" s="57">
        <f aca="true" t="shared" si="51" ref="M205:M244">(J205/$J$242)*100</f>
        <v>0.0001380493518409403</v>
      </c>
      <c r="N205" s="57">
        <f aca="true" t="shared" si="52" ref="N205:N244">(K205/$K$242)*100</f>
        <v>0.00039998452491871856</v>
      </c>
    </row>
    <row r="206" spans="1:14" ht="23.25" customHeight="1">
      <c r="A206" s="239"/>
      <c r="B206" s="244"/>
      <c r="C206" s="6" t="s">
        <v>94</v>
      </c>
      <c r="D206" s="9" t="s">
        <v>331</v>
      </c>
      <c r="E206" s="4"/>
      <c r="F206" s="4"/>
      <c r="G206" s="4"/>
      <c r="H206" s="4"/>
      <c r="I206" s="57" t="e">
        <f t="shared" si="49"/>
        <v>#DIV/0!</v>
      </c>
      <c r="J206" s="4">
        <v>50</v>
      </c>
      <c r="K206" s="4"/>
      <c r="L206" s="8"/>
      <c r="M206" s="57">
        <f t="shared" si="51"/>
        <v>0.0001380493518409403</v>
      </c>
      <c r="N206" s="57">
        <f t="shared" si="52"/>
        <v>0</v>
      </c>
    </row>
    <row r="207" spans="1:14" ht="13.5" customHeight="1">
      <c r="A207" s="239"/>
      <c r="B207" s="244"/>
      <c r="C207" s="6" t="s">
        <v>90</v>
      </c>
      <c r="D207" s="9" t="s">
        <v>7</v>
      </c>
      <c r="E207" s="4"/>
      <c r="F207" s="4">
        <v>1000</v>
      </c>
      <c r="G207" s="4">
        <v>1000</v>
      </c>
      <c r="H207" s="4"/>
      <c r="I207" s="57">
        <f t="shared" si="49"/>
        <v>0</v>
      </c>
      <c r="J207" s="4">
        <v>100</v>
      </c>
      <c r="K207" s="4">
        <v>200</v>
      </c>
      <c r="L207" s="8">
        <f t="shared" si="39"/>
        <v>200</v>
      </c>
      <c r="M207" s="57">
        <f t="shared" si="51"/>
        <v>0.0002760987036818806</v>
      </c>
      <c r="N207" s="57">
        <f t="shared" si="52"/>
        <v>0.00039998452491871856</v>
      </c>
    </row>
    <row r="208" spans="1:14" ht="57.75" customHeight="1">
      <c r="A208" s="239"/>
      <c r="B208" s="244"/>
      <c r="C208" s="61" t="s">
        <v>193</v>
      </c>
      <c r="D208" s="9" t="s">
        <v>145</v>
      </c>
      <c r="E208" s="4"/>
      <c r="F208" s="4">
        <v>479552</v>
      </c>
      <c r="G208" s="4"/>
      <c r="H208" s="4"/>
      <c r="I208" s="57" t="e">
        <f t="shared" si="49"/>
        <v>#DIV/0!</v>
      </c>
      <c r="J208" s="4"/>
      <c r="K208" s="4">
        <v>589850</v>
      </c>
      <c r="L208" s="8"/>
      <c r="M208" s="57">
        <f t="shared" si="51"/>
        <v>0</v>
      </c>
      <c r="N208" s="57">
        <f t="shared" si="52"/>
        <v>1.1796543601165306</v>
      </c>
    </row>
    <row r="209" spans="1:14" s="133" customFormat="1" ht="12.75">
      <c r="A209" s="239"/>
      <c r="B209" s="248">
        <v>90002</v>
      </c>
      <c r="C209" s="132"/>
      <c r="D209" s="7" t="s">
        <v>273</v>
      </c>
      <c r="E209" s="8">
        <f aca="true" t="shared" si="53" ref="E209:K209">E210+E212+E213+E215+E211+E214</f>
        <v>979645.05</v>
      </c>
      <c r="F209" s="8">
        <f t="shared" si="53"/>
        <v>1607941.3599999999</v>
      </c>
      <c r="G209" s="8">
        <f t="shared" si="53"/>
        <v>1608191.3599999999</v>
      </c>
      <c r="H209" s="8">
        <f t="shared" si="53"/>
        <v>730987.59</v>
      </c>
      <c r="I209" s="57">
        <f t="shared" si="49"/>
        <v>45.454017984526416</v>
      </c>
      <c r="J209" s="8">
        <f t="shared" si="53"/>
        <v>1110367.48</v>
      </c>
      <c r="K209" s="8">
        <f t="shared" si="53"/>
        <v>1873650</v>
      </c>
      <c r="L209" s="8">
        <f t="shared" si="39"/>
        <v>168.7414332415427</v>
      </c>
      <c r="M209" s="57">
        <f t="shared" si="51"/>
        <v>3.065710218385165</v>
      </c>
      <c r="N209" s="57">
        <f t="shared" si="52"/>
        <v>3.7471550255697843</v>
      </c>
    </row>
    <row r="210" spans="1:14" ht="32.25" customHeight="1">
      <c r="A210" s="239"/>
      <c r="B210" s="249"/>
      <c r="C210" s="61" t="s">
        <v>89</v>
      </c>
      <c r="D210" s="9" t="s">
        <v>470</v>
      </c>
      <c r="E210" s="4">
        <v>972505.54</v>
      </c>
      <c r="F210" s="4">
        <v>1100000</v>
      </c>
      <c r="G210" s="4">
        <v>1100000</v>
      </c>
      <c r="H210" s="4">
        <v>718573.51</v>
      </c>
      <c r="I210" s="57">
        <f t="shared" si="49"/>
        <v>65.32486454545455</v>
      </c>
      <c r="J210" s="4">
        <v>1100000</v>
      </c>
      <c r="K210" s="4">
        <v>1200000</v>
      </c>
      <c r="L210" s="8">
        <f t="shared" si="39"/>
        <v>109.09090909090908</v>
      </c>
      <c r="M210" s="57">
        <f t="shared" si="51"/>
        <v>3.037085740500687</v>
      </c>
      <c r="N210" s="57">
        <f t="shared" si="52"/>
        <v>2.3999071495123108</v>
      </c>
    </row>
    <row r="211" spans="1:14" ht="35.25" customHeight="1">
      <c r="A211" s="239"/>
      <c r="B211" s="249"/>
      <c r="C211" s="61" t="s">
        <v>323</v>
      </c>
      <c r="D211" s="9" t="s">
        <v>333</v>
      </c>
      <c r="E211" s="4">
        <v>4119.14</v>
      </c>
      <c r="F211" s="4">
        <v>4000</v>
      </c>
      <c r="G211" s="4">
        <v>4000</v>
      </c>
      <c r="H211" s="4">
        <v>2787.39</v>
      </c>
      <c r="I211" s="57">
        <f t="shared" si="49"/>
        <v>69.68475</v>
      </c>
      <c r="J211" s="4">
        <v>3700</v>
      </c>
      <c r="K211" s="4">
        <v>4000</v>
      </c>
      <c r="L211" s="8">
        <f t="shared" si="39"/>
        <v>108.10810810810811</v>
      </c>
      <c r="M211" s="57">
        <f t="shared" si="51"/>
        <v>0.010215652036229582</v>
      </c>
      <c r="N211" s="57">
        <f t="shared" si="52"/>
        <v>0.00799969049837437</v>
      </c>
    </row>
    <row r="212" spans="1:14" ht="15.75" customHeight="1">
      <c r="A212" s="239"/>
      <c r="B212" s="249"/>
      <c r="C212" s="61" t="s">
        <v>95</v>
      </c>
      <c r="D212" s="9" t="s">
        <v>20</v>
      </c>
      <c r="E212" s="4"/>
      <c r="F212" s="4"/>
      <c r="G212" s="4"/>
      <c r="H212" s="4"/>
      <c r="I212" s="57" t="e">
        <f t="shared" si="49"/>
        <v>#DIV/0!</v>
      </c>
      <c r="J212" s="4"/>
      <c r="K212" s="4"/>
      <c r="L212" s="8"/>
      <c r="M212" s="57">
        <f t="shared" si="51"/>
        <v>0</v>
      </c>
      <c r="N212" s="57">
        <f t="shared" si="52"/>
        <v>0</v>
      </c>
    </row>
    <row r="213" spans="1:14" ht="21">
      <c r="A213" s="239"/>
      <c r="B213" s="249"/>
      <c r="C213" s="61" t="s">
        <v>99</v>
      </c>
      <c r="D213" s="196" t="s">
        <v>469</v>
      </c>
      <c r="E213" s="4">
        <v>2993.61</v>
      </c>
      <c r="F213" s="4">
        <v>4000</v>
      </c>
      <c r="G213" s="4">
        <v>4000</v>
      </c>
      <c r="H213" s="4">
        <v>2709.21</v>
      </c>
      <c r="I213" s="57">
        <f t="shared" si="49"/>
        <v>67.73025</v>
      </c>
      <c r="J213" s="4"/>
      <c r="K213" s="4">
        <v>4000</v>
      </c>
      <c r="L213" s="8"/>
      <c r="M213" s="57">
        <f t="shared" si="51"/>
        <v>0</v>
      </c>
      <c r="N213" s="57">
        <f t="shared" si="52"/>
        <v>0.00799969049837437</v>
      </c>
    </row>
    <row r="214" spans="1:14" ht="22.5">
      <c r="A214" s="239"/>
      <c r="B214" s="249"/>
      <c r="C214" s="61" t="s">
        <v>325</v>
      </c>
      <c r="D214" s="9" t="s">
        <v>468</v>
      </c>
      <c r="E214" s="4">
        <v>26.76</v>
      </c>
      <c r="F214" s="4"/>
      <c r="G214" s="4">
        <v>250</v>
      </c>
      <c r="H214" s="4">
        <v>250</v>
      </c>
      <c r="I214" s="57">
        <f t="shared" si="49"/>
        <v>100</v>
      </c>
      <c r="J214" s="4"/>
      <c r="K214" s="4"/>
      <c r="L214" s="8"/>
      <c r="M214" s="57">
        <f t="shared" si="51"/>
        <v>0</v>
      </c>
      <c r="N214" s="57">
        <f t="shared" si="52"/>
        <v>0</v>
      </c>
    </row>
    <row r="215" spans="1:14" ht="42">
      <c r="A215" s="239"/>
      <c r="B215" s="252"/>
      <c r="C215" s="61" t="s">
        <v>193</v>
      </c>
      <c r="D215" s="196" t="s">
        <v>145</v>
      </c>
      <c r="E215" s="4"/>
      <c r="F215" s="4">
        <v>499941.36</v>
      </c>
      <c r="G215" s="4">
        <v>499941.36</v>
      </c>
      <c r="H215" s="4">
        <v>6667.48</v>
      </c>
      <c r="I215" s="57">
        <f t="shared" si="49"/>
        <v>1.3336524107547332</v>
      </c>
      <c r="J215" s="207">
        <v>6667.48</v>
      </c>
      <c r="K215" s="4">
        <v>665650</v>
      </c>
      <c r="L215" s="8">
        <f t="shared" si="39"/>
        <v>9983.532009094892</v>
      </c>
      <c r="M215" s="57">
        <f t="shared" si="51"/>
        <v>0.018408825848248652</v>
      </c>
      <c r="N215" s="57">
        <f t="shared" si="52"/>
        <v>1.3312484950607248</v>
      </c>
    </row>
    <row r="216" spans="1:14" ht="21">
      <c r="A216" s="239"/>
      <c r="B216" s="248">
        <v>90004</v>
      </c>
      <c r="C216" s="132"/>
      <c r="D216" s="7" t="s">
        <v>319</v>
      </c>
      <c r="E216" s="8" t="e">
        <f>E217+#REF!</f>
        <v>#REF!</v>
      </c>
      <c r="F216" s="8" t="e">
        <f>F217+#REF!</f>
        <v>#REF!</v>
      </c>
      <c r="G216" s="8" t="e">
        <f>G217+#REF!</f>
        <v>#REF!</v>
      </c>
      <c r="H216" s="8" t="e">
        <f>H217+#REF!</f>
        <v>#REF!</v>
      </c>
      <c r="I216" s="57" t="e">
        <f t="shared" si="49"/>
        <v>#REF!</v>
      </c>
      <c r="J216" s="8">
        <f>J217</f>
        <v>0</v>
      </c>
      <c r="K216" s="8">
        <f>K217</f>
        <v>0</v>
      </c>
      <c r="L216" s="8"/>
      <c r="M216" s="57">
        <f t="shared" si="51"/>
        <v>0</v>
      </c>
      <c r="N216" s="57">
        <f t="shared" si="52"/>
        <v>0</v>
      </c>
    </row>
    <row r="217" spans="1:14" ht="44.25" customHeight="1">
      <c r="A217" s="239"/>
      <c r="B217" s="249"/>
      <c r="C217" s="61" t="s">
        <v>112</v>
      </c>
      <c r="D217" s="196" t="s">
        <v>318</v>
      </c>
      <c r="E217" s="4"/>
      <c r="F217" s="4"/>
      <c r="G217" s="4"/>
      <c r="H217" s="4"/>
      <c r="I217" s="57" t="e">
        <f t="shared" si="49"/>
        <v>#DIV/0!</v>
      </c>
      <c r="J217" s="4"/>
      <c r="K217" s="4"/>
      <c r="L217" s="8"/>
      <c r="M217" s="57">
        <f t="shared" si="51"/>
        <v>0</v>
      </c>
      <c r="N217" s="57">
        <f t="shared" si="52"/>
        <v>0</v>
      </c>
    </row>
    <row r="218" spans="1:14" s="70" customFormat="1" ht="11.25">
      <c r="A218" s="239"/>
      <c r="B218" s="248">
        <v>90015</v>
      </c>
      <c r="C218" s="61"/>
      <c r="D218" s="7" t="s">
        <v>300</v>
      </c>
      <c r="E218" s="8" t="e">
        <f>E219+E220+#REF!</f>
        <v>#REF!</v>
      </c>
      <c r="F218" s="8" t="e">
        <f>F219+F220+#REF!</f>
        <v>#REF!</v>
      </c>
      <c r="G218" s="8" t="e">
        <f>G219+G220+#REF!</f>
        <v>#REF!</v>
      </c>
      <c r="H218" s="8" t="e">
        <f>H219+H220+#REF!</f>
        <v>#REF!</v>
      </c>
      <c r="I218" s="57" t="e">
        <f t="shared" si="49"/>
        <v>#REF!</v>
      </c>
      <c r="J218" s="8">
        <f>J220</f>
        <v>0</v>
      </c>
      <c r="K218" s="8">
        <f>K220</f>
        <v>170000</v>
      </c>
      <c r="L218" s="8"/>
      <c r="M218" s="57">
        <f t="shared" si="51"/>
        <v>0</v>
      </c>
      <c r="N218" s="57">
        <f t="shared" si="52"/>
        <v>0.33998684618091074</v>
      </c>
    </row>
    <row r="219" spans="1:14" s="70" customFormat="1" ht="11.25">
      <c r="A219" s="239"/>
      <c r="B219" s="249"/>
      <c r="C219" s="61" t="s">
        <v>90</v>
      </c>
      <c r="D219" s="9" t="s">
        <v>7</v>
      </c>
      <c r="E219" s="4"/>
      <c r="F219" s="4"/>
      <c r="G219" s="4"/>
      <c r="H219" s="4"/>
      <c r="I219" s="57" t="e">
        <f t="shared" si="49"/>
        <v>#DIV/0!</v>
      </c>
      <c r="J219" s="4"/>
      <c r="K219" s="4"/>
      <c r="L219" s="8"/>
      <c r="M219" s="57">
        <f t="shared" si="51"/>
        <v>0</v>
      </c>
      <c r="N219" s="57">
        <f t="shared" si="52"/>
        <v>0</v>
      </c>
    </row>
    <row r="220" spans="1:14" s="70" customFormat="1" ht="42">
      <c r="A220" s="239"/>
      <c r="B220" s="245"/>
      <c r="C220" s="61" t="s">
        <v>193</v>
      </c>
      <c r="D220" s="196" t="s">
        <v>145</v>
      </c>
      <c r="E220" s="4"/>
      <c r="F220" s="4">
        <v>42500</v>
      </c>
      <c r="G220" s="4"/>
      <c r="H220" s="4"/>
      <c r="I220" s="57" t="e">
        <f t="shared" si="49"/>
        <v>#DIV/0!</v>
      </c>
      <c r="J220" s="4"/>
      <c r="K220" s="4">
        <v>170000</v>
      </c>
      <c r="L220" s="8"/>
      <c r="M220" s="57">
        <f t="shared" si="51"/>
        <v>0</v>
      </c>
      <c r="N220" s="57">
        <f t="shared" si="52"/>
        <v>0.33998684618091074</v>
      </c>
    </row>
    <row r="221" spans="1:14" s="54" customFormat="1" ht="35.25" customHeight="1">
      <c r="A221" s="239"/>
      <c r="B221" s="248">
        <v>90019</v>
      </c>
      <c r="C221" s="5"/>
      <c r="D221" s="7" t="s">
        <v>196</v>
      </c>
      <c r="E221" s="8" t="e">
        <f>E222+#REF!</f>
        <v>#REF!</v>
      </c>
      <c r="F221" s="8" t="e">
        <f>F222+#REF!</f>
        <v>#REF!</v>
      </c>
      <c r="G221" s="8" t="e">
        <f>G222+#REF!+#REF!</f>
        <v>#REF!</v>
      </c>
      <c r="H221" s="8" t="e">
        <f>H222+#REF!+#REF!</f>
        <v>#REF!</v>
      </c>
      <c r="I221" s="57" t="e">
        <f t="shared" si="49"/>
        <v>#REF!</v>
      </c>
      <c r="J221" s="8">
        <f>J222</f>
        <v>17000</v>
      </c>
      <c r="K221" s="8">
        <f>K222</f>
        <v>20000</v>
      </c>
      <c r="L221" s="8">
        <f t="shared" si="39"/>
        <v>117.64705882352942</v>
      </c>
      <c r="M221" s="57">
        <f t="shared" si="51"/>
        <v>0.04693677962591971</v>
      </c>
      <c r="N221" s="57">
        <f t="shared" si="52"/>
        <v>0.03999845249187185</v>
      </c>
    </row>
    <row r="222" spans="1:14" s="54" customFormat="1" ht="11.25">
      <c r="A222" s="239"/>
      <c r="B222" s="249"/>
      <c r="C222" s="6" t="s">
        <v>95</v>
      </c>
      <c r="D222" s="9" t="s">
        <v>20</v>
      </c>
      <c r="E222" s="4">
        <v>12924.9</v>
      </c>
      <c r="F222" s="4">
        <v>15000</v>
      </c>
      <c r="G222" s="4">
        <v>15000</v>
      </c>
      <c r="H222" s="4">
        <v>14360.49</v>
      </c>
      <c r="I222" s="57">
        <f t="shared" si="49"/>
        <v>95.7366</v>
      </c>
      <c r="J222" s="4">
        <v>17000</v>
      </c>
      <c r="K222" s="4">
        <v>20000</v>
      </c>
      <c r="L222" s="8">
        <f t="shared" si="39"/>
        <v>117.64705882352942</v>
      </c>
      <c r="M222" s="57">
        <f t="shared" si="51"/>
        <v>0.04693677962591971</v>
      </c>
      <c r="N222" s="57">
        <f t="shared" si="52"/>
        <v>0.03999845249187185</v>
      </c>
    </row>
    <row r="223" spans="1:14" s="54" customFormat="1" ht="31.5" customHeight="1">
      <c r="A223" s="239"/>
      <c r="B223" s="202">
        <v>90020</v>
      </c>
      <c r="C223" s="5"/>
      <c r="D223" s="7" t="s">
        <v>322</v>
      </c>
      <c r="E223" s="8">
        <f aca="true" t="shared" si="54" ref="E223:K223">E224</f>
        <v>79.79</v>
      </c>
      <c r="F223" s="8">
        <f t="shared" si="54"/>
        <v>100</v>
      </c>
      <c r="G223" s="8">
        <f t="shared" si="54"/>
        <v>100</v>
      </c>
      <c r="H223" s="8">
        <f t="shared" si="54"/>
        <v>0.93</v>
      </c>
      <c r="I223" s="57">
        <f t="shared" si="49"/>
        <v>0.93</v>
      </c>
      <c r="J223" s="8">
        <f t="shared" si="54"/>
        <v>0</v>
      </c>
      <c r="K223" s="8">
        <f t="shared" si="54"/>
        <v>0</v>
      </c>
      <c r="L223" s="8"/>
      <c r="M223" s="57">
        <f t="shared" si="51"/>
        <v>0</v>
      </c>
      <c r="N223" s="57">
        <f t="shared" si="52"/>
        <v>0</v>
      </c>
    </row>
    <row r="224" spans="1:14" s="54" customFormat="1" ht="11.25">
      <c r="A224" s="239"/>
      <c r="B224" s="202"/>
      <c r="C224" s="6" t="s">
        <v>320</v>
      </c>
      <c r="D224" s="9" t="s">
        <v>321</v>
      </c>
      <c r="E224" s="4">
        <v>79.79</v>
      </c>
      <c r="F224" s="4">
        <v>100</v>
      </c>
      <c r="G224" s="4">
        <v>100</v>
      </c>
      <c r="H224" s="4">
        <v>0.93</v>
      </c>
      <c r="I224" s="57">
        <f t="shared" si="49"/>
        <v>0.93</v>
      </c>
      <c r="J224" s="4"/>
      <c r="K224" s="4"/>
      <c r="L224" s="8"/>
      <c r="M224" s="57">
        <f t="shared" si="51"/>
        <v>0</v>
      </c>
      <c r="N224" s="57">
        <f t="shared" si="52"/>
        <v>0</v>
      </c>
    </row>
    <row r="225" spans="1:14" s="10" customFormat="1" ht="24.75" customHeight="1">
      <c r="A225" s="239"/>
      <c r="B225" s="243">
        <v>90095</v>
      </c>
      <c r="C225" s="5"/>
      <c r="D225" s="7" t="s">
        <v>8</v>
      </c>
      <c r="E225" s="8">
        <f>E227+E228</f>
        <v>37053.18</v>
      </c>
      <c r="F225" s="8">
        <f>F227+F228</f>
        <v>283887</v>
      </c>
      <c r="G225" s="8">
        <f>G227+G228+G226</f>
        <v>36216.37</v>
      </c>
      <c r="H225" s="8">
        <f>H227+H228+H226</f>
        <v>32437.77</v>
      </c>
      <c r="I225" s="57">
        <f t="shared" si="49"/>
        <v>89.56659654184006</v>
      </c>
      <c r="J225" s="8">
        <f>J226+J227+J228</f>
        <v>30000</v>
      </c>
      <c r="K225" s="8">
        <f>K226+K227+K228</f>
        <v>115900</v>
      </c>
      <c r="L225" s="8">
        <f aca="true" t="shared" si="55" ref="L225:L274">K225/J225*100</f>
        <v>386.3333333333333</v>
      </c>
      <c r="M225" s="57">
        <f t="shared" si="51"/>
        <v>0.08282961110456419</v>
      </c>
      <c r="N225" s="57">
        <f t="shared" si="52"/>
        <v>0.23179103219039737</v>
      </c>
    </row>
    <row r="226" spans="1:14" s="10" customFormat="1" ht="23.25" customHeight="1">
      <c r="A226" s="239"/>
      <c r="B226" s="247"/>
      <c r="C226" s="6" t="s">
        <v>95</v>
      </c>
      <c r="D226" s="9" t="s">
        <v>20</v>
      </c>
      <c r="E226" s="8"/>
      <c r="F226" s="8"/>
      <c r="G226" s="4">
        <v>216.37</v>
      </c>
      <c r="H226" s="4">
        <v>4676.52</v>
      </c>
      <c r="I226" s="57">
        <f t="shared" si="49"/>
        <v>2161.353237509821</v>
      </c>
      <c r="J226" s="4">
        <v>0</v>
      </c>
      <c r="K226" s="4">
        <v>0</v>
      </c>
      <c r="L226" s="4"/>
      <c r="M226" s="57">
        <f t="shared" si="51"/>
        <v>0</v>
      </c>
      <c r="N226" s="57">
        <f t="shared" si="52"/>
        <v>0</v>
      </c>
    </row>
    <row r="227" spans="1:14" ht="17.25" customHeight="1">
      <c r="A227" s="239"/>
      <c r="B227" s="247"/>
      <c r="C227" s="6" t="s">
        <v>96</v>
      </c>
      <c r="D227" s="9" t="s">
        <v>25</v>
      </c>
      <c r="E227" s="4">
        <v>37053.18</v>
      </c>
      <c r="F227" s="4">
        <v>36000</v>
      </c>
      <c r="G227" s="4">
        <v>36000</v>
      </c>
      <c r="H227" s="4">
        <v>27761.25</v>
      </c>
      <c r="I227" s="57">
        <f t="shared" si="49"/>
        <v>77.11458333333333</v>
      </c>
      <c r="J227" s="4">
        <v>30000</v>
      </c>
      <c r="K227" s="4">
        <v>30000</v>
      </c>
      <c r="L227" s="8">
        <f t="shared" si="55"/>
        <v>100</v>
      </c>
      <c r="M227" s="57">
        <f t="shared" si="51"/>
        <v>0.08282961110456419</v>
      </c>
      <c r="N227" s="57">
        <f t="shared" si="52"/>
        <v>0.05999767873780778</v>
      </c>
    </row>
    <row r="228" spans="1:14" ht="42.75" customHeight="1">
      <c r="A228" s="242"/>
      <c r="B228" s="245"/>
      <c r="C228" s="6" t="s">
        <v>193</v>
      </c>
      <c r="D228" s="196" t="s">
        <v>145</v>
      </c>
      <c r="E228" s="4"/>
      <c r="F228" s="4">
        <v>247887</v>
      </c>
      <c r="G228" s="4"/>
      <c r="H228" s="4"/>
      <c r="I228" s="57" t="e">
        <f t="shared" si="49"/>
        <v>#DIV/0!</v>
      </c>
      <c r="J228" s="4"/>
      <c r="K228" s="4">
        <v>85900</v>
      </c>
      <c r="L228" s="8"/>
      <c r="M228" s="57">
        <f t="shared" si="51"/>
        <v>0</v>
      </c>
      <c r="N228" s="57">
        <f t="shared" si="52"/>
        <v>0.17179335345258961</v>
      </c>
    </row>
    <row r="229" spans="1:14" ht="20.25" customHeight="1">
      <c r="A229" s="238">
        <v>921</v>
      </c>
      <c r="B229" s="197"/>
      <c r="C229" s="6"/>
      <c r="D229" s="7" t="s">
        <v>79</v>
      </c>
      <c r="E229" s="8" t="e">
        <f>E230+E232+#REF!</f>
        <v>#REF!</v>
      </c>
      <c r="F229" s="8" t="e">
        <f>F230+F232+#REF!</f>
        <v>#REF!</v>
      </c>
      <c r="G229" s="8" t="e">
        <f>G230+G232+#REF!</f>
        <v>#REF!</v>
      </c>
      <c r="H229" s="8" t="e">
        <f>H230+H232+#REF!</f>
        <v>#REF!</v>
      </c>
      <c r="I229" s="57" t="e">
        <f t="shared" si="49"/>
        <v>#REF!</v>
      </c>
      <c r="J229" s="8">
        <f>J230+J232</f>
        <v>13216</v>
      </c>
      <c r="K229" s="8">
        <f>K230+K232</f>
        <v>14500</v>
      </c>
      <c r="L229" s="8">
        <f t="shared" si="55"/>
        <v>109.71549636803874</v>
      </c>
      <c r="M229" s="57">
        <f t="shared" si="51"/>
        <v>0.03648920467859734</v>
      </c>
      <c r="N229" s="57">
        <f t="shared" si="52"/>
        <v>0.02899887805660709</v>
      </c>
    </row>
    <row r="230" spans="1:14" ht="24.75" customHeight="1">
      <c r="A230" s="239"/>
      <c r="B230" s="243">
        <v>92109</v>
      </c>
      <c r="C230" s="6"/>
      <c r="D230" s="7" t="s">
        <v>80</v>
      </c>
      <c r="E230" s="8" t="e">
        <f>E231+#REF!+#REF!</f>
        <v>#REF!</v>
      </c>
      <c r="F230" s="8" t="e">
        <f>F231+#REF!+#REF!</f>
        <v>#REF!</v>
      </c>
      <c r="G230" s="8" t="e">
        <f>G231+#REF!+#REF!</f>
        <v>#REF!</v>
      </c>
      <c r="H230" s="8" t="e">
        <f>H231+#REF!+#REF!</f>
        <v>#REF!</v>
      </c>
      <c r="I230" s="57" t="e">
        <f t="shared" si="49"/>
        <v>#REF!</v>
      </c>
      <c r="J230" s="8">
        <f>J231</f>
        <v>9000</v>
      </c>
      <c r="K230" s="8">
        <f>K231</f>
        <v>10000</v>
      </c>
      <c r="L230" s="8">
        <f t="shared" si="55"/>
        <v>111.11111111111111</v>
      </c>
      <c r="M230" s="57">
        <f t="shared" si="51"/>
        <v>0.024848883331369257</v>
      </c>
      <c r="N230" s="57">
        <f t="shared" si="52"/>
        <v>0.019999226245935926</v>
      </c>
    </row>
    <row r="231" spans="1:14" ht="28.5" customHeight="1">
      <c r="A231" s="239"/>
      <c r="B231" s="247"/>
      <c r="C231" s="6" t="s">
        <v>122</v>
      </c>
      <c r="D231" s="196" t="s">
        <v>135</v>
      </c>
      <c r="E231" s="4">
        <v>9000</v>
      </c>
      <c r="F231" s="4"/>
      <c r="G231" s="4">
        <v>9000</v>
      </c>
      <c r="H231" s="4">
        <v>9000</v>
      </c>
      <c r="I231" s="57">
        <f t="shared" si="49"/>
        <v>100</v>
      </c>
      <c r="J231" s="4">
        <v>9000</v>
      </c>
      <c r="K231" s="4">
        <v>10000</v>
      </c>
      <c r="L231" s="8">
        <f t="shared" si="55"/>
        <v>111.11111111111111</v>
      </c>
      <c r="M231" s="57">
        <f t="shared" si="51"/>
        <v>0.024848883331369257</v>
      </c>
      <c r="N231" s="57">
        <f t="shared" si="52"/>
        <v>0.019999226245935926</v>
      </c>
    </row>
    <row r="232" spans="1:14" ht="15" customHeight="1">
      <c r="A232" s="241"/>
      <c r="B232" s="197" t="s">
        <v>266</v>
      </c>
      <c r="C232" s="6"/>
      <c r="D232" s="7" t="s">
        <v>267</v>
      </c>
      <c r="E232" s="8">
        <f aca="true" t="shared" si="56" ref="E232:K232">E233</f>
        <v>4216</v>
      </c>
      <c r="F232" s="8">
        <f t="shared" si="56"/>
        <v>0</v>
      </c>
      <c r="G232" s="8">
        <f t="shared" si="56"/>
        <v>4216</v>
      </c>
      <c r="H232" s="8">
        <f t="shared" si="56"/>
        <v>2108</v>
      </c>
      <c r="I232" s="57">
        <f t="shared" si="49"/>
        <v>50</v>
      </c>
      <c r="J232" s="8">
        <f t="shared" si="56"/>
        <v>4216</v>
      </c>
      <c r="K232" s="8">
        <f t="shared" si="56"/>
        <v>4500</v>
      </c>
      <c r="L232" s="8">
        <f t="shared" si="55"/>
        <v>106.73624288425047</v>
      </c>
      <c r="M232" s="57">
        <f t="shared" si="51"/>
        <v>0.011640321347228087</v>
      </c>
      <c r="N232" s="57">
        <f t="shared" si="52"/>
        <v>0.008999651810671166</v>
      </c>
    </row>
    <row r="233" spans="1:14" ht="34.5" customHeight="1">
      <c r="A233" s="241"/>
      <c r="B233" s="197"/>
      <c r="C233" s="6" t="s">
        <v>122</v>
      </c>
      <c r="D233" s="9" t="s">
        <v>135</v>
      </c>
      <c r="E233" s="4">
        <v>4216</v>
      </c>
      <c r="F233" s="4"/>
      <c r="G233" s="4">
        <v>4216</v>
      </c>
      <c r="H233" s="4">
        <v>2108</v>
      </c>
      <c r="I233" s="57">
        <f t="shared" si="49"/>
        <v>50</v>
      </c>
      <c r="J233" s="4">
        <v>4216</v>
      </c>
      <c r="K233" s="4">
        <v>4500</v>
      </c>
      <c r="L233" s="8">
        <f t="shared" si="55"/>
        <v>106.73624288425047</v>
      </c>
      <c r="M233" s="57">
        <f t="shared" si="51"/>
        <v>0.011640321347228087</v>
      </c>
      <c r="N233" s="57">
        <f t="shared" si="52"/>
        <v>0.008999651810671166</v>
      </c>
    </row>
    <row r="234" spans="1:14" s="10" customFormat="1" ht="12.75" customHeight="1">
      <c r="A234" s="238" t="s">
        <v>147</v>
      </c>
      <c r="B234" s="197"/>
      <c r="C234" s="5"/>
      <c r="D234" s="7" t="s">
        <v>148</v>
      </c>
      <c r="E234" s="8" t="e">
        <f>#REF!+E235</f>
        <v>#REF!</v>
      </c>
      <c r="F234" s="8" t="e">
        <f>#REF!+F235</f>
        <v>#REF!</v>
      </c>
      <c r="G234" s="8" t="e">
        <f>#REF!+G235</f>
        <v>#REF!</v>
      </c>
      <c r="H234" s="8" t="e">
        <f>#REF!+H235</f>
        <v>#REF!</v>
      </c>
      <c r="I234" s="57" t="e">
        <f t="shared" si="49"/>
        <v>#REF!</v>
      </c>
      <c r="J234" s="8">
        <f>J235</f>
        <v>236750</v>
      </c>
      <c r="K234" s="8">
        <f>K235</f>
        <v>1002661.4</v>
      </c>
      <c r="L234" s="8">
        <f t="shared" si="55"/>
        <v>423.51062302006335</v>
      </c>
      <c r="M234" s="57">
        <f t="shared" si="51"/>
        <v>0.6536636809668525</v>
      </c>
      <c r="N234" s="57">
        <f t="shared" si="52"/>
        <v>2.005245218666686</v>
      </c>
    </row>
    <row r="235" spans="1:14" s="10" customFormat="1" ht="15.75" customHeight="1">
      <c r="A235" s="239"/>
      <c r="B235" s="243" t="s">
        <v>153</v>
      </c>
      <c r="C235" s="5"/>
      <c r="D235" s="7" t="s">
        <v>171</v>
      </c>
      <c r="E235" s="8" t="e">
        <f>E237+E241+#REF!+E236+E240+#REF!+#REF!+E239</f>
        <v>#REF!</v>
      </c>
      <c r="F235" s="8" t="e">
        <f>F237+F241+#REF!+F236+F240+#REF!+#REF!+F239</f>
        <v>#REF!</v>
      </c>
      <c r="G235" s="8" t="e">
        <f>G237+G241+#REF!+G236+G240+#REF!+#REF!+G239+G238</f>
        <v>#REF!</v>
      </c>
      <c r="H235" s="8" t="e">
        <f>H237+H241+#REF!+H236+H240+#REF!+#REF!+H239+H238</f>
        <v>#REF!</v>
      </c>
      <c r="I235" s="57" t="e">
        <f t="shared" si="49"/>
        <v>#REF!</v>
      </c>
      <c r="J235" s="8">
        <f>J238+J237+J241+J236+J240+J239</f>
        <v>236750</v>
      </c>
      <c r="K235" s="8">
        <f>K238+K237+K241+K236+K240+K239</f>
        <v>1002661.4</v>
      </c>
      <c r="L235" s="8">
        <f t="shared" si="55"/>
        <v>423.51062302006335</v>
      </c>
      <c r="M235" s="57">
        <f t="shared" si="51"/>
        <v>0.6536636809668525</v>
      </c>
      <c r="N235" s="57">
        <f t="shared" si="52"/>
        <v>2.005245218666686</v>
      </c>
    </row>
    <row r="236" spans="1:14" s="10" customFormat="1" ht="12" customHeight="1">
      <c r="A236" s="239"/>
      <c r="B236" s="244"/>
      <c r="C236" s="6" t="s">
        <v>96</v>
      </c>
      <c r="D236" s="9" t="s">
        <v>25</v>
      </c>
      <c r="E236" s="4">
        <v>272439.92</v>
      </c>
      <c r="F236" s="4">
        <v>219228</v>
      </c>
      <c r="G236" s="4">
        <v>221450.21</v>
      </c>
      <c r="H236" s="4">
        <v>171200.53</v>
      </c>
      <c r="I236" s="57">
        <f t="shared" si="49"/>
        <v>77.30881357032807</v>
      </c>
      <c r="J236" s="4">
        <v>230000</v>
      </c>
      <c r="K236" s="4">
        <v>250000</v>
      </c>
      <c r="L236" s="8">
        <f t="shared" si="55"/>
        <v>108.69565217391303</v>
      </c>
      <c r="M236" s="57">
        <f t="shared" si="51"/>
        <v>0.6350270184683254</v>
      </c>
      <c r="N236" s="57">
        <f t="shared" si="52"/>
        <v>0.49998065614839815</v>
      </c>
    </row>
    <row r="237" spans="1:14" s="29" customFormat="1" ht="12.75">
      <c r="A237" s="239"/>
      <c r="B237" s="244"/>
      <c r="C237" s="6" t="s">
        <v>93</v>
      </c>
      <c r="D237" s="9" t="s">
        <v>338</v>
      </c>
      <c r="E237" s="4">
        <v>269.44</v>
      </c>
      <c r="F237" s="4">
        <v>200</v>
      </c>
      <c r="G237" s="4">
        <v>200</v>
      </c>
      <c r="H237" s="4">
        <v>101.54</v>
      </c>
      <c r="I237" s="57">
        <f t="shared" si="49"/>
        <v>50.77</v>
      </c>
      <c r="J237" s="4">
        <v>200</v>
      </c>
      <c r="K237" s="4">
        <v>200</v>
      </c>
      <c r="L237" s="8">
        <f t="shared" si="55"/>
        <v>100</v>
      </c>
      <c r="M237" s="57">
        <f t="shared" si="51"/>
        <v>0.0005521974073637613</v>
      </c>
      <c r="N237" s="57">
        <f t="shared" si="52"/>
        <v>0.00039998452491871856</v>
      </c>
    </row>
    <row r="238" spans="1:14" s="29" customFormat="1" ht="22.5">
      <c r="A238" s="239"/>
      <c r="B238" s="244"/>
      <c r="C238" s="6" t="s">
        <v>325</v>
      </c>
      <c r="D238" s="9" t="s">
        <v>468</v>
      </c>
      <c r="E238" s="4"/>
      <c r="F238" s="4"/>
      <c r="G238" s="4">
        <v>508.52</v>
      </c>
      <c r="H238" s="4">
        <v>508.52</v>
      </c>
      <c r="I238" s="57">
        <f t="shared" si="49"/>
        <v>100</v>
      </c>
      <c r="J238" s="4">
        <v>600</v>
      </c>
      <c r="K238" s="4">
        <v>600</v>
      </c>
      <c r="L238" s="8"/>
      <c r="M238" s="57">
        <f t="shared" si="51"/>
        <v>0.0016565922220912836</v>
      </c>
      <c r="N238" s="57">
        <f t="shared" si="52"/>
        <v>0.0011999535747561556</v>
      </c>
    </row>
    <row r="239" spans="1:14" s="29" customFormat="1" ht="22.5">
      <c r="A239" s="239"/>
      <c r="B239" s="244"/>
      <c r="C239" s="6" t="s">
        <v>353</v>
      </c>
      <c r="D239" s="9" t="s">
        <v>467</v>
      </c>
      <c r="E239" s="4">
        <v>4180.29</v>
      </c>
      <c r="F239" s="4">
        <v>1000</v>
      </c>
      <c r="G239" s="4">
        <v>8000</v>
      </c>
      <c r="H239" s="4">
        <v>5655.74</v>
      </c>
      <c r="I239" s="57">
        <f t="shared" si="49"/>
        <v>70.69675</v>
      </c>
      <c r="J239" s="4">
        <v>5700</v>
      </c>
      <c r="K239" s="4">
        <v>2000</v>
      </c>
      <c r="L239" s="8">
        <f t="shared" si="55"/>
        <v>35.08771929824561</v>
      </c>
      <c r="M239" s="57">
        <f t="shared" si="51"/>
        <v>0.015737626109867196</v>
      </c>
      <c r="N239" s="57">
        <f t="shared" si="52"/>
        <v>0.003999845249187185</v>
      </c>
    </row>
    <row r="240" spans="1:14" s="29" customFormat="1" ht="14.25" customHeight="1">
      <c r="A240" s="239"/>
      <c r="B240" s="244"/>
      <c r="C240" s="6" t="s">
        <v>90</v>
      </c>
      <c r="D240" s="9" t="s">
        <v>7</v>
      </c>
      <c r="E240" s="4">
        <v>974.92</v>
      </c>
      <c r="F240" s="4">
        <v>500</v>
      </c>
      <c r="G240" s="4">
        <v>500</v>
      </c>
      <c r="H240" s="4">
        <v>154.63</v>
      </c>
      <c r="I240" s="57">
        <f t="shared" si="49"/>
        <v>30.926</v>
      </c>
      <c r="J240" s="4">
        <v>250</v>
      </c>
      <c r="K240" s="4">
        <v>300</v>
      </c>
      <c r="L240" s="8">
        <f t="shared" si="55"/>
        <v>120</v>
      </c>
      <c r="M240" s="57">
        <f t="shared" si="51"/>
        <v>0.0006902467592047016</v>
      </c>
      <c r="N240" s="57">
        <f t="shared" si="52"/>
        <v>0.0005999767873780778</v>
      </c>
    </row>
    <row r="241" spans="1:14" s="29" customFormat="1" ht="57.75" customHeight="1">
      <c r="A241" s="239"/>
      <c r="B241" s="244"/>
      <c r="C241" s="61" t="s">
        <v>193</v>
      </c>
      <c r="D241" s="9" t="s">
        <v>145</v>
      </c>
      <c r="E241" s="4"/>
      <c r="F241" s="4"/>
      <c r="G241" s="4"/>
      <c r="H241" s="4"/>
      <c r="I241" s="57" t="e">
        <f t="shared" si="49"/>
        <v>#DIV/0!</v>
      </c>
      <c r="J241" s="4"/>
      <c r="K241" s="4">
        <v>749561.4</v>
      </c>
      <c r="L241" s="8"/>
      <c r="M241" s="57">
        <f t="shared" si="51"/>
        <v>0</v>
      </c>
      <c r="N241" s="57">
        <f t="shared" si="52"/>
        <v>1.4990648023820476</v>
      </c>
    </row>
    <row r="242" spans="1:14" ht="12.75">
      <c r="A242" s="237" t="s">
        <v>172</v>
      </c>
      <c r="B242" s="237"/>
      <c r="C242" s="237"/>
      <c r="D242" s="237"/>
      <c r="E242" s="192" t="e">
        <f>+E229+E203+E187+E156+E153+E117+E105+E73+E69+E64+E46+E43+E27+E19+E7+E234+E190</f>
        <v>#REF!</v>
      </c>
      <c r="F242" s="8" t="e">
        <f>+F229+F203+F187+F156+F153+F117+F105+F73+F69+F64+F46+F43+F27+F19+F7+F234+F190</f>
        <v>#REF!</v>
      </c>
      <c r="G242" s="8" t="e">
        <f>G7+G16+G19+G43+G46+G64+G69+G73+G105+G117+G156+G187+G190+G203+G229+G234+G27</f>
        <v>#REF!</v>
      </c>
      <c r="H242" s="8" t="e">
        <f>H7+H16+H19+H43+H46+H64+H69+H73+H105+H117+H156+H187+H190+H203+H229+H234+H27</f>
        <v>#REF!</v>
      </c>
      <c r="I242" s="57" t="e">
        <f t="shared" si="49"/>
        <v>#REF!</v>
      </c>
      <c r="J242" s="16">
        <f>J7++J19+J27+J46++J64+J69+J73+J105++J117+J153+J156+J187++J190+J203++J229++J234+J43+J16</f>
        <v>36218931.37</v>
      </c>
      <c r="K242" s="8">
        <f>K7++K19+K27+K46++K64+K69+K73+K105++K117+K153+K156+K187++K190+K203++K229++K234+K43+K16</f>
        <v>50001934.46</v>
      </c>
      <c r="L242" s="8">
        <f t="shared" si="55"/>
        <v>138.05469285992356</v>
      </c>
      <c r="M242" s="57">
        <f t="shared" si="51"/>
        <v>100</v>
      </c>
      <c r="N242" s="57">
        <f t="shared" si="52"/>
        <v>100</v>
      </c>
    </row>
    <row r="243" spans="1:14" ht="15.75" customHeight="1">
      <c r="A243" s="55"/>
      <c r="B243" s="55"/>
      <c r="C243" s="55"/>
      <c r="D243" s="65" t="s">
        <v>173</v>
      </c>
      <c r="E243" s="64" t="e">
        <f>E9+E35+E208+E241+#REF!+E11+E228+E40+E25+E34+#REF!+#REF!+E26+E42+#REF!+#REF!+E72+#REF!+E215+#REF!+E220+#REF!+E36+#REF!+#REF!</f>
        <v>#REF!</v>
      </c>
      <c r="F243" s="64" t="e">
        <f>F9+F35+F208+F241+#REF!+F11+F228+F40+F25+F34+#REF!+#REF!+F26+F42+#REF!+#REF!+F72+#REF!+F215+#REF!+F220+#REF!+F36+#REF!+#REF!</f>
        <v>#REF!</v>
      </c>
      <c r="G243" s="64" t="e">
        <f>G9+G35+G208+G241+#REF!+G11+G228+G40+G25+G34+#REF!+#REF!+G26+G42+#REF!+#REF!+G72+#REF!+G215+#REF!+G220+#REF!+G36+#REF!+#REF!</f>
        <v>#REF!</v>
      </c>
      <c r="H243" s="64" t="e">
        <f>H9+H35+H208+H241+#REF!+H11+H228+H40+H25+H34+#REF!+#REF!+H26+H42+#REF!+#REF!+H72+#REF!+H215+#REF!+H220+#REF!+H36+#REF!+#REF!</f>
        <v>#REF!</v>
      </c>
      <c r="I243" s="57" t="e">
        <f t="shared" si="49"/>
        <v>#REF!</v>
      </c>
      <c r="J243" s="64">
        <f>J9+J11++J24+J25+J26+J34+J35+J36+J40+J42+J72+J114+J124+J176+J186+J208+J215++J220+J228+J241</f>
        <v>4859786.800000001</v>
      </c>
      <c r="K243" s="64">
        <f>K9+K11++K24+K25+K26+K34+K35+K36+K40+K42+K72+K114+K124+K176+K186+K208+K215++K220+K228+K241</f>
        <v>17348865.21</v>
      </c>
      <c r="L243" s="8">
        <f t="shared" si="55"/>
        <v>356.98819565500276</v>
      </c>
      <c r="M243" s="57">
        <f t="shared" si="51"/>
        <v>13.41780835650315</v>
      </c>
      <c r="N243" s="57">
        <f t="shared" si="52"/>
        <v>34.69638804450367</v>
      </c>
    </row>
    <row r="244" spans="1:14" ht="21.75" customHeight="1">
      <c r="A244" s="55"/>
      <c r="B244" s="55"/>
      <c r="C244" s="55"/>
      <c r="D244" s="65" t="s">
        <v>174</v>
      </c>
      <c r="E244" s="64" t="e">
        <f aca="true" t="shared" si="57" ref="E244:K244">E242-E243</f>
        <v>#REF!</v>
      </c>
      <c r="F244" s="64" t="e">
        <f t="shared" si="57"/>
        <v>#REF!</v>
      </c>
      <c r="G244" s="64" t="e">
        <f t="shared" si="57"/>
        <v>#REF!</v>
      </c>
      <c r="H244" s="64" t="e">
        <f t="shared" si="57"/>
        <v>#REF!</v>
      </c>
      <c r="I244" s="57" t="e">
        <f t="shared" si="49"/>
        <v>#REF!</v>
      </c>
      <c r="J244" s="64">
        <f t="shared" si="57"/>
        <v>31359144.569999997</v>
      </c>
      <c r="K244" s="64">
        <f t="shared" si="57"/>
        <v>32653069.25</v>
      </c>
      <c r="L244" s="8">
        <f t="shared" si="55"/>
        <v>104.12614788363153</v>
      </c>
      <c r="M244" s="57">
        <f t="shared" si="51"/>
        <v>86.58219164349686</v>
      </c>
      <c r="N244" s="57">
        <f t="shared" si="52"/>
        <v>65.30361195549634</v>
      </c>
    </row>
    <row r="245" spans="9:12" ht="12.75">
      <c r="I245" s="57" t="e">
        <f t="shared" si="49"/>
        <v>#DIV/0!</v>
      </c>
      <c r="J245" s="167"/>
      <c r="K245" s="167"/>
      <c r="L245" s="8"/>
    </row>
    <row r="246" spans="4:12" ht="12.75">
      <c r="D246" s="223" t="s">
        <v>487</v>
      </c>
      <c r="I246" s="57" t="e">
        <f t="shared" si="49"/>
        <v>#DIV/0!</v>
      </c>
      <c r="J246" s="167"/>
      <c r="K246" s="167"/>
      <c r="L246" s="8"/>
    </row>
    <row r="247" spans="3:12" ht="12.75">
      <c r="C247" s="1" t="s">
        <v>191</v>
      </c>
      <c r="D247" s="223"/>
      <c r="I247" s="57"/>
      <c r="J247" s="167">
        <f>J122+J139++J146++J150</f>
        <v>278542.44999999995</v>
      </c>
      <c r="K247" s="167">
        <f>K122+K139++K146++K150</f>
        <v>0</v>
      </c>
      <c r="L247" s="8">
        <f t="shared" si="55"/>
        <v>0</v>
      </c>
    </row>
    <row r="248" spans="3:12" ht="12.75">
      <c r="C248" s="1" t="s">
        <v>152</v>
      </c>
      <c r="I248" s="57" t="e">
        <f t="shared" si="49"/>
        <v>#DIV/0!</v>
      </c>
      <c r="J248" s="167">
        <f>J123++J133+J140+J147</f>
        <v>42478.42</v>
      </c>
      <c r="K248" s="3">
        <f>K123++K133+K140+K147</f>
        <v>0</v>
      </c>
      <c r="L248" s="8">
        <f t="shared" si="55"/>
        <v>0</v>
      </c>
    </row>
    <row r="249" spans="3:12" ht="12.75">
      <c r="C249" s="1" t="s">
        <v>117</v>
      </c>
      <c r="I249" s="57" t="e">
        <f t="shared" si="49"/>
        <v>#DIV/0!</v>
      </c>
      <c r="J249" s="167">
        <f>J15++J48+J68+J66++J152+J155+J161+J166++J195+J198+J200+J201</f>
        <v>4621248.09</v>
      </c>
      <c r="K249" s="167">
        <f>K15++K48+K68+K66++K152+K155+K161+K166++K195+K198+K200+K201</f>
        <v>3582355.42</v>
      </c>
      <c r="L249" s="8">
        <f t="shared" si="55"/>
        <v>77.51921883942829</v>
      </c>
    </row>
    <row r="250" spans="3:12" ht="12.75">
      <c r="C250" s="1" t="s">
        <v>119</v>
      </c>
      <c r="J250" s="167">
        <f>J45</f>
        <v>3900</v>
      </c>
      <c r="K250" s="3">
        <f>K45</f>
        <v>3900</v>
      </c>
      <c r="L250" s="8">
        <f t="shared" si="55"/>
        <v>100</v>
      </c>
    </row>
    <row r="251" spans="3:12" ht="12.75">
      <c r="C251" s="1" t="s">
        <v>112</v>
      </c>
      <c r="J251" s="167">
        <f>J113++J126+J129+J131+J144++J162+J164+J168+J174++J181+J184+J189++J217</f>
        <v>752140.88</v>
      </c>
      <c r="K251" s="3">
        <f>K113++K126+K129+K131+K144++K162+K164+K168+K174++K181+K184+K189++K217</f>
        <v>735893</v>
      </c>
      <c r="L251" s="8">
        <f t="shared" si="55"/>
        <v>97.8397823556672</v>
      </c>
    </row>
    <row r="252" spans="3:12" ht="12.75">
      <c r="C252" s="1" t="s">
        <v>293</v>
      </c>
      <c r="J252" s="167">
        <f>J192</f>
        <v>4738548</v>
      </c>
      <c r="K252" s="3">
        <f>K192</f>
        <v>4368854</v>
      </c>
      <c r="L252" s="8">
        <f t="shared" si="55"/>
        <v>92.19815859204128</v>
      </c>
    </row>
    <row r="253" spans="3:12" ht="12.75">
      <c r="C253" s="1" t="s">
        <v>122</v>
      </c>
      <c r="J253" s="167">
        <f>J231+J233</f>
        <v>13216</v>
      </c>
      <c r="K253" s="3">
        <f>K231+K233</f>
        <v>14500</v>
      </c>
      <c r="L253" s="8">
        <f t="shared" si="55"/>
        <v>109.71549636803874</v>
      </c>
    </row>
    <row r="254" spans="3:12" ht="12.75">
      <c r="C254" s="230" t="s">
        <v>413</v>
      </c>
      <c r="J254" s="167">
        <f>J71</f>
        <v>50863.23</v>
      </c>
      <c r="K254" s="167">
        <f>K71</f>
        <v>0</v>
      </c>
      <c r="L254" s="8">
        <f t="shared" si="55"/>
        <v>0</v>
      </c>
    </row>
    <row r="255" spans="4:12" ht="12.75">
      <c r="D255" s="10" t="s">
        <v>479</v>
      </c>
      <c r="E255" s="231"/>
      <c r="F255" s="231"/>
      <c r="G255" s="231"/>
      <c r="H255" s="231"/>
      <c r="I255" s="231"/>
      <c r="J255" s="232">
        <f>SUM(J247:J254)</f>
        <v>10500937.07</v>
      </c>
      <c r="K255" s="232">
        <f>SUM(K247:K254)</f>
        <v>8705502.42</v>
      </c>
      <c r="L255" s="8">
        <f t="shared" si="55"/>
        <v>82.9021482746587</v>
      </c>
    </row>
    <row r="256" spans="3:12" ht="12.75">
      <c r="C256" s="1" t="s">
        <v>115</v>
      </c>
      <c r="D256" s="29" t="s">
        <v>475</v>
      </c>
      <c r="J256" s="229">
        <f>J107+J109++J116</f>
        <v>11872907</v>
      </c>
      <c r="K256" s="229">
        <f>K107+K109++K116</f>
        <v>12791120</v>
      </c>
      <c r="L256" s="8">
        <f t="shared" si="55"/>
        <v>107.733683081995</v>
      </c>
    </row>
    <row r="257" ht="12.75">
      <c r="L257" s="8"/>
    </row>
    <row r="258" spans="4:12" ht="12.75">
      <c r="D258" s="29" t="s">
        <v>477</v>
      </c>
      <c r="J258" s="3">
        <f>J10+J13+J14+J18+J21+J22+J23++J29+J31+J32+J33+J37+J38+J39+J49+J51+J52+J53+J54+J55+J56+J57+J58+J60+J61+J63++J73+J111+J112++J119+J120+J121++J128++J138++J149+J158+J159+J170+J171+J172+J173++J178+J179++J194+J196+J205+J206+J207+J210+J211+J213+J222+J227++J236+J237+J238+J239+J240</f>
        <v>8985300.5</v>
      </c>
      <c r="K258" s="3">
        <f>K10+K13+K14+K18+K21+K22+K23++K29+K31+K32+K33+K37+K38+K39+K49+K51+K52+K53+K54+K55+K56+K57+K58+K60+K61+K63++K73+K111+K112++K119+K120+K121++K128++K138++K149+K158+K159+K170+K171+K172+K173++K178+K179++K194+K196+K205+K206+K207+K210+K211+K213+K222+K227++K236+K237+K238+K239+K240</f>
        <v>11156446.83</v>
      </c>
      <c r="L258" s="8">
        <f t="shared" si="55"/>
        <v>124.16331351411118</v>
      </c>
    </row>
    <row r="259" spans="4:12" ht="12.75">
      <c r="D259" s="29" t="s">
        <v>478</v>
      </c>
      <c r="J259" s="3">
        <f>J9+J34+J35+J36</f>
        <v>510400</v>
      </c>
      <c r="K259" s="3">
        <f>K9+K34+K35+K36</f>
        <v>55500</v>
      </c>
      <c r="L259" s="8">
        <f t="shared" si="55"/>
        <v>10.873824451410659</v>
      </c>
    </row>
    <row r="260" spans="4:12" ht="12.75">
      <c r="D260" s="10" t="s">
        <v>480</v>
      </c>
      <c r="E260" s="231"/>
      <c r="F260" s="231"/>
      <c r="G260" s="231"/>
      <c r="H260" s="231"/>
      <c r="I260" s="231"/>
      <c r="J260" s="231">
        <f>SUM(J258:J259)</f>
        <v>9495700.5</v>
      </c>
      <c r="K260" s="231">
        <f>SUM(K258:K259)</f>
        <v>11211946.83</v>
      </c>
      <c r="L260" s="8">
        <f t="shared" si="55"/>
        <v>118.07393072264654</v>
      </c>
    </row>
    <row r="261" spans="4:12" ht="12.75">
      <c r="D261" s="29"/>
      <c r="L261" s="8"/>
    </row>
    <row r="262" spans="3:12" ht="12.75">
      <c r="C262" s="1" t="s">
        <v>405</v>
      </c>
      <c r="J262" s="3">
        <f>J24</f>
        <v>110000</v>
      </c>
      <c r="K262" s="3">
        <f>K24</f>
        <v>0</v>
      </c>
      <c r="L262" s="8">
        <f t="shared" si="55"/>
        <v>0</v>
      </c>
    </row>
    <row r="263" spans="3:12" ht="12.75">
      <c r="C263" s="1" t="s">
        <v>291</v>
      </c>
      <c r="J263" s="3">
        <f>J26+J42+J114+J176</f>
        <v>2402489.75</v>
      </c>
      <c r="K263" s="3">
        <f>K26+K42+K114</f>
        <v>9019000</v>
      </c>
      <c r="L263" s="8">
        <f t="shared" si="55"/>
        <v>375.40222596163</v>
      </c>
    </row>
    <row r="264" spans="3:12" ht="12.75">
      <c r="C264" s="1" t="s">
        <v>193</v>
      </c>
      <c r="J264" s="3">
        <f>J11+J25+J40++J72++J124+J186+J208++J215++J220++J228++J241</f>
        <v>1836897.05</v>
      </c>
      <c r="K264" s="3">
        <f>K11+K25+K40++K72++K124+K186+K208++K215++K220++K228++K241</f>
        <v>8274365.210000001</v>
      </c>
      <c r="L264" s="8">
        <f t="shared" si="55"/>
        <v>450.4533996611297</v>
      </c>
    </row>
    <row r="265" spans="4:12" ht="12.75">
      <c r="D265" s="10" t="s">
        <v>476</v>
      </c>
      <c r="E265" s="231"/>
      <c r="F265" s="231"/>
      <c r="G265" s="231"/>
      <c r="H265" s="231"/>
      <c r="I265" s="231"/>
      <c r="J265" s="231">
        <f>SUM(J262:J264)</f>
        <v>4349386.8</v>
      </c>
      <c r="K265" s="231">
        <f>SUM(K262:K264)</f>
        <v>17293365.21</v>
      </c>
      <c r="L265" s="8">
        <f t="shared" si="55"/>
        <v>397.6046740657787</v>
      </c>
    </row>
    <row r="266" ht="12.75">
      <c r="L266" s="8"/>
    </row>
    <row r="267" spans="10:12" ht="12.75">
      <c r="J267" s="167">
        <f>J265+J256+J255+J260</f>
        <v>36218931.370000005</v>
      </c>
      <c r="K267" s="167">
        <f>K265+K256+K255+K260</f>
        <v>50001934.46</v>
      </c>
      <c r="L267" s="8">
        <f t="shared" si="55"/>
        <v>138.05469285992353</v>
      </c>
    </row>
    <row r="268" spans="10:12" ht="12.75">
      <c r="J268" s="3">
        <f>J242-J267</f>
        <v>0</v>
      </c>
      <c r="K268" s="3">
        <f>K242-K267</f>
        <v>0</v>
      </c>
      <c r="L268" s="8"/>
    </row>
    <row r="269" ht="12.75">
      <c r="L269" s="8"/>
    </row>
    <row r="270" spans="4:12" ht="12.75">
      <c r="D270" s="29" t="s">
        <v>481</v>
      </c>
      <c r="J270" s="3">
        <f>J265+J259</f>
        <v>4859786.8</v>
      </c>
      <c r="K270" s="3">
        <f>K265+K259</f>
        <v>17348865.21</v>
      </c>
      <c r="L270" s="8">
        <f t="shared" si="55"/>
        <v>356.98819565500287</v>
      </c>
    </row>
    <row r="271" spans="4:12" ht="12.75">
      <c r="D271" s="29" t="s">
        <v>482</v>
      </c>
      <c r="J271" s="229">
        <f>J258+J256+J255</f>
        <v>31359144.57</v>
      </c>
      <c r="K271" s="229">
        <f>K258+K256+K255</f>
        <v>32653069.25</v>
      </c>
      <c r="L271" s="8">
        <f t="shared" si="55"/>
        <v>104.1261478836315</v>
      </c>
    </row>
    <row r="272" ht="12.75">
      <c r="L272" s="8" t="e">
        <f t="shared" si="55"/>
        <v>#DIV/0!</v>
      </c>
    </row>
    <row r="273" spans="4:12" ht="12.75">
      <c r="D273" s="29" t="s">
        <v>483</v>
      </c>
      <c r="J273" s="3">
        <f>J243-J270</f>
        <v>0</v>
      </c>
      <c r="L273" s="8" t="e">
        <f t="shared" si="55"/>
        <v>#DIV/0!</v>
      </c>
    </row>
    <row r="274" spans="2:12" ht="12.75">
      <c r="B274" s="234" t="s">
        <v>485</v>
      </c>
      <c r="C274" s="234" t="s">
        <v>112</v>
      </c>
      <c r="D274" s="54" t="s">
        <v>486</v>
      </c>
      <c r="J274" s="3">
        <f>J244-J271</f>
        <v>0</v>
      </c>
      <c r="L274" s="8" t="e">
        <f t="shared" si="55"/>
        <v>#DIV/0!</v>
      </c>
    </row>
  </sheetData>
  <sheetProtection/>
  <mergeCells count="77">
    <mergeCell ref="F1:N2"/>
    <mergeCell ref="L3:L5"/>
    <mergeCell ref="M3:M5"/>
    <mergeCell ref="E3:E5"/>
    <mergeCell ref="F3:F5"/>
    <mergeCell ref="G3:G5"/>
    <mergeCell ref="H3:H5"/>
    <mergeCell ref="J3:J5"/>
    <mergeCell ref="K3:K5"/>
    <mergeCell ref="A43:A45"/>
    <mergeCell ref="N3:N5"/>
    <mergeCell ref="A7:A15"/>
    <mergeCell ref="B8:B11"/>
    <mergeCell ref="B12:B15"/>
    <mergeCell ref="A1:A5"/>
    <mergeCell ref="B1:B5"/>
    <mergeCell ref="C1:C5"/>
    <mergeCell ref="D1:D5"/>
    <mergeCell ref="E1:E2"/>
    <mergeCell ref="A46:A63"/>
    <mergeCell ref="B47:B49"/>
    <mergeCell ref="B50:B58"/>
    <mergeCell ref="B59:B61"/>
    <mergeCell ref="B62:B63"/>
    <mergeCell ref="A19:A26"/>
    <mergeCell ref="B20:B26"/>
    <mergeCell ref="A27:A42"/>
    <mergeCell ref="B28:B29"/>
    <mergeCell ref="B30:B42"/>
    <mergeCell ref="A64:A66"/>
    <mergeCell ref="B65:B66"/>
    <mergeCell ref="A69:A72"/>
    <mergeCell ref="B70:B72"/>
    <mergeCell ref="A73:A104"/>
    <mergeCell ref="B74:B75"/>
    <mergeCell ref="B76:B83"/>
    <mergeCell ref="B84:B96"/>
    <mergeCell ref="B97:B101"/>
    <mergeCell ref="B102:B104"/>
    <mergeCell ref="A105:A116"/>
    <mergeCell ref="A117:A146"/>
    <mergeCell ref="B118:B123"/>
    <mergeCell ref="B125:B126"/>
    <mergeCell ref="B127:B129"/>
    <mergeCell ref="B130:B131"/>
    <mergeCell ref="B132:B133"/>
    <mergeCell ref="B134:B136"/>
    <mergeCell ref="B137:B140"/>
    <mergeCell ref="B141:B142"/>
    <mergeCell ref="B143:B144"/>
    <mergeCell ref="A148:A152"/>
    <mergeCell ref="B148:B152"/>
    <mergeCell ref="A153:A155"/>
    <mergeCell ref="A156:A185"/>
    <mergeCell ref="B157:B159"/>
    <mergeCell ref="B160:B162"/>
    <mergeCell ref="B163:B164"/>
    <mergeCell ref="B167:B168"/>
    <mergeCell ref="B221:B222"/>
    <mergeCell ref="B225:B228"/>
    <mergeCell ref="B171:B174"/>
    <mergeCell ref="B175:B176"/>
    <mergeCell ref="B177:B179"/>
    <mergeCell ref="A187:A189"/>
    <mergeCell ref="B188:B189"/>
    <mergeCell ref="A190:A200"/>
    <mergeCell ref="B193:B196"/>
    <mergeCell ref="A229:A233"/>
    <mergeCell ref="B230:B231"/>
    <mergeCell ref="A234:A241"/>
    <mergeCell ref="B235:B241"/>
    <mergeCell ref="A242:D242"/>
    <mergeCell ref="A203:A228"/>
    <mergeCell ref="B204:B208"/>
    <mergeCell ref="B209:B215"/>
    <mergeCell ref="B216:B217"/>
    <mergeCell ref="B218:B220"/>
  </mergeCells>
  <printOptions/>
  <pageMargins left="0.4330708661417323" right="0.2755905511811024" top="0.7480314960629921" bottom="0.7480314960629921" header="0.31496062992125984" footer="0.31496062992125984"/>
  <pageSetup horizontalDpi="600" verticalDpi="600" orientation="portrait" paperSize="9" r:id="rId1"/>
  <headerFooter>
    <oddHeader>&amp;CZał.Nr 1 do Zarządzenia Burmistrza Jezioran Nr 107/18 z dnia 15.11.2018r Dochody budżetu gminy na 2019 rok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banking</dc:creator>
  <cp:keywords/>
  <dc:description/>
  <cp:lastModifiedBy>skarbnik</cp:lastModifiedBy>
  <cp:lastPrinted>2018-11-28T20:20:13Z</cp:lastPrinted>
  <dcterms:created xsi:type="dcterms:W3CDTF">2007-08-01T12:21:44Z</dcterms:created>
  <dcterms:modified xsi:type="dcterms:W3CDTF">2018-12-13T10:31:48Z</dcterms:modified>
  <cp:category/>
  <cp:version/>
  <cp:contentType/>
  <cp:contentStatus/>
</cp:coreProperties>
</file>