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752" activeTab="0"/>
  </bookViews>
  <sheets>
    <sheet name="WYDATKI RIO" sheetId="1" r:id="rId1"/>
  </sheets>
  <definedNames/>
  <calcPr fullCalcOnLoad="1"/>
</workbook>
</file>

<file path=xl/sharedStrings.xml><?xml version="1.0" encoding="utf-8"?>
<sst xmlns="http://schemas.openxmlformats.org/spreadsheetml/2006/main" count="929" uniqueCount="362">
  <si>
    <t>Dział</t>
  </si>
  <si>
    <t>Rozdział</t>
  </si>
  <si>
    <t>§</t>
  </si>
  <si>
    <t>Nazwa</t>
  </si>
  <si>
    <t>kwota</t>
  </si>
  <si>
    <t>010</t>
  </si>
  <si>
    <t>01010</t>
  </si>
  <si>
    <t>01030</t>
  </si>
  <si>
    <t>Izby rolnicze</t>
  </si>
  <si>
    <t>01095</t>
  </si>
  <si>
    <t>Pozostała działalność</t>
  </si>
  <si>
    <t>TRANSPORT I ŁĄCZNOŚĆ</t>
  </si>
  <si>
    <t>Drogi publiczne gminne</t>
  </si>
  <si>
    <t>GOSPODARKA MIESZKANIOWA</t>
  </si>
  <si>
    <t>DZIAŁALNOŚĆ USŁUGOWA</t>
  </si>
  <si>
    <t>Plany zagospodarowania przestrzennego</t>
  </si>
  <si>
    <t>71035</t>
  </si>
  <si>
    <t>ADMINISTRACJA PUBLICZNA</t>
  </si>
  <si>
    <t>Ochotnicze Straże Pożarne</t>
  </si>
  <si>
    <t>RÓŻNE ROZLICZENIA</t>
  </si>
  <si>
    <t>OŚWIATA I WYCHOWANIE</t>
  </si>
  <si>
    <t>Przedszkola</t>
  </si>
  <si>
    <t>Gimnazjum</t>
  </si>
  <si>
    <t>Szkoły zawodowe</t>
  </si>
  <si>
    <t>OCHRONA ZDROWIA</t>
  </si>
  <si>
    <t>Przeciwdziałanie alkoholizmowi</t>
  </si>
  <si>
    <t>POMOC SPOŁECZNA</t>
  </si>
  <si>
    <t>Ośrodki pomocy społecznej</t>
  </si>
  <si>
    <t>Centra Integracji Społecznej</t>
  </si>
  <si>
    <t>EDUKACYJNA OPIEKA WYCHOWAWCZA</t>
  </si>
  <si>
    <t>Pomoc materialna dla uczniów</t>
  </si>
  <si>
    <t>Gospodarka ściekowa i ochrona wód</t>
  </si>
  <si>
    <t>KULTURA I OCHRONA DZIEDZICTWA NARODOWEGO</t>
  </si>
  <si>
    <t>Ochrona i konserwacja zabytków</t>
  </si>
  <si>
    <t>ROLNICTWO I ŁOWIECTWO</t>
  </si>
  <si>
    <t>Infrastruktura wodociągowa  i sanitacyjna wsi</t>
  </si>
  <si>
    <t>6050</t>
  </si>
  <si>
    <t>6059</t>
  </si>
  <si>
    <t>Wydatki inwestycyjne jednostek budżetowych</t>
  </si>
  <si>
    <t>6060</t>
  </si>
  <si>
    <t xml:space="preserve">Zakupy inwestycyjne jednostek budżetowych </t>
  </si>
  <si>
    <t>600</t>
  </si>
  <si>
    <t>60016</t>
  </si>
  <si>
    <t xml:space="preserve">Wydatki inwestycyjne jednostek i zakładów budżetowych </t>
  </si>
  <si>
    <t>700</t>
  </si>
  <si>
    <t>70005</t>
  </si>
  <si>
    <t>Gospod. gruntami i nieruchomościami</t>
  </si>
  <si>
    <t>Wydatki inwest. jednostek budżetowych</t>
  </si>
  <si>
    <t>Wydatki na zakupy inwest. jednostek budżetowych</t>
  </si>
  <si>
    <t>750</t>
  </si>
  <si>
    <t>75011</t>
  </si>
  <si>
    <t>Urzędy Wojewódzkie:</t>
  </si>
  <si>
    <t>75023</t>
  </si>
  <si>
    <t>Urzędy gminy</t>
  </si>
  <si>
    <t>BEZPIECZEŃSTWO PUBLICZNE I OCHRONA PRZECIWPOŻAROWA</t>
  </si>
  <si>
    <t>75412</t>
  </si>
  <si>
    <t>Wydatki inwest. jedn. budżetowych</t>
  </si>
  <si>
    <t>Wydatki na zakupy inwestycyjne jednostek budżetowych</t>
  </si>
  <si>
    <t>801</t>
  </si>
  <si>
    <t>SZKOŁY PODSTAWOWE</t>
  </si>
  <si>
    <t>Zespoły ekonomiczno-administracyjne szkół</t>
  </si>
  <si>
    <t>Wydatki inwestycyjne jednostek budżetowych /Środki pomocowe/</t>
  </si>
  <si>
    <t>Wydatki inwestycyjne jednostek budżetowych –środki  gminy, budżetu państwa</t>
  </si>
  <si>
    <t>90003</t>
  </si>
  <si>
    <t>Oczyszczanie miast i wsi</t>
  </si>
  <si>
    <t>90004</t>
  </si>
  <si>
    <t>Utrzymanie zieleni w mieście i gminie</t>
  </si>
  <si>
    <t>Oświetlenie ulic, placów, dróg w tym:</t>
  </si>
  <si>
    <t>90095</t>
  </si>
  <si>
    <t>92109</t>
  </si>
  <si>
    <t>Domy i ośrodki Kultury, świetlice, i kluby</t>
  </si>
  <si>
    <t>92605</t>
  </si>
  <si>
    <t>Zadania w zakresie kultury fizycznej i sportu</t>
  </si>
  <si>
    <t>Wydatki inwestycyjne jednostek  budżetowych</t>
  </si>
  <si>
    <t>Zakup materiałów i wyposażenia</t>
  </si>
  <si>
    <t>Zakup energii</t>
  </si>
  <si>
    <t>4270</t>
  </si>
  <si>
    <t>Zakup usług remontowych</t>
  </si>
  <si>
    <t>4300</t>
  </si>
  <si>
    <t xml:space="preserve">Zakup usług pozostałych </t>
  </si>
  <si>
    <t>4520</t>
  </si>
  <si>
    <t>Opłaty na rzecz budżetów jednostek samorządu terytor.</t>
  </si>
  <si>
    <t>2850</t>
  </si>
  <si>
    <t>Wpłaty gmin na rzecz Izb Rolniczych /2%wpływów podatku rolnego/</t>
  </si>
  <si>
    <t>Składki na ubezpieczenie społeczne</t>
  </si>
  <si>
    <t>Składki na Fundusz Pracy</t>
  </si>
  <si>
    <t>Wynagrodzenia bezosobowe</t>
  </si>
  <si>
    <t>Zakup usług pozostałych</t>
  </si>
  <si>
    <t>Różne opłaty i składki</t>
  </si>
  <si>
    <t>Składki na ubezp. społeczne</t>
  </si>
  <si>
    <t>Zakup mat. i wyposaż.</t>
  </si>
  <si>
    <t>Zakup usług zdrowotnych</t>
  </si>
  <si>
    <t>3020</t>
  </si>
  <si>
    <t>Nagrody i wydatki os. nie zalicz. do wynagrodzeń</t>
  </si>
  <si>
    <t>4010</t>
  </si>
  <si>
    <t>Wynagrodzenia osobowe pracowników</t>
  </si>
  <si>
    <t>4040</t>
  </si>
  <si>
    <t>Dodatkowe wynagrodzenia roczne</t>
  </si>
  <si>
    <t>4110</t>
  </si>
  <si>
    <t>4120</t>
  </si>
  <si>
    <t>4170</t>
  </si>
  <si>
    <t>4210</t>
  </si>
  <si>
    <t>Zakup materiałów i wyposaż.</t>
  </si>
  <si>
    <t>Opłaty na rzecz budżetów jednostek samorządu terytorialnego</t>
  </si>
  <si>
    <t>70004</t>
  </si>
  <si>
    <t>Różne jednostki obsługi gosp. mieszk. i komunalnej</t>
  </si>
  <si>
    <t>Składki na FP</t>
  </si>
  <si>
    <t>Wynagrodzenie bezosobowe pracowników</t>
  </si>
  <si>
    <t>Zakup mat. i wyposażenia</t>
  </si>
  <si>
    <t>4260</t>
  </si>
  <si>
    <t>4430</t>
  </si>
  <si>
    <t>71004</t>
  </si>
  <si>
    <t>Zakup usług Pozostałych</t>
  </si>
  <si>
    <t>Cmentarze</t>
  </si>
  <si>
    <t>710</t>
  </si>
  <si>
    <t>-zlecone</t>
  </si>
  <si>
    <t>-własne</t>
  </si>
  <si>
    <t>Składki na ubezpieczenia społeczne</t>
  </si>
  <si>
    <t>4440</t>
  </si>
  <si>
    <t>Odpisy na zakładowy fundusz świadczeń socjalnych</t>
  </si>
  <si>
    <t>75022</t>
  </si>
  <si>
    <t>Rady gminy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</si>
  <si>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</si>
  <si>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</si>
  <si>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</si>
  <si>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</si>
  <si>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</si>
  <si>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</si>
  <si>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Nagrody i wydatki nie zaliczone do wynagrodzeń</t>
  </si>
  <si>
    <t>4140</t>
  </si>
  <si>
    <t>Wpłaty na Państwowy Fundusz Rehabilitacji Osób Niepełnosprawnych</t>
  </si>
  <si>
    <t>4280</t>
  </si>
  <si>
    <t>4350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</si>
  <si>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</si>
  <si>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</si>
  <si>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</si>
  <si>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</si>
  <si>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Odpisy na zakł. Fundusz świadczeń socjalnych</t>
  </si>
  <si>
    <t>4530</t>
  </si>
  <si>
    <t>Podatek od towarów i usług/VAT/</t>
  </si>
  <si>
    <t>Szkolenia pracowników niebędących członkami korpusu służby cywilnej</t>
  </si>
  <si>
    <t>Wydatki na zakupy inwesty-cyjne jednostek budżetowych</t>
  </si>
  <si>
    <t>75095</t>
  </si>
  <si>
    <t>2900</t>
  </si>
  <si>
    <t>Wpłaty gmin na rzecz związku gmin</t>
  </si>
  <si>
    <t>Składki na ZUS</t>
  </si>
  <si>
    <t>Wynagrodzenia bezosobowe pracowników</t>
  </si>
  <si>
    <t>75101</t>
  </si>
  <si>
    <t>Urzędy Nacz. Org. Władzy Państwowej</t>
  </si>
  <si>
    <t>751</t>
  </si>
  <si>
    <t>Opłata z tytułu zakupu usług telekomunikacyjnych telefonii stacjonarnej</t>
  </si>
  <si>
    <t>75702</t>
  </si>
  <si>
    <t>8070</t>
  </si>
  <si>
    <t>Odsetki</t>
  </si>
  <si>
    <t>757</t>
  </si>
  <si>
    <t>Rezerwy ogólne i celowe</t>
  </si>
  <si>
    <t>758</t>
  </si>
  <si>
    <t>Nagrody i wydatki osobowe nie zaliczone do wynagrodzeń</t>
  </si>
  <si>
    <t>Dodatkowe wynagrodzenia robocze</t>
  </si>
  <si>
    <t>Wynagrodzenie bezosobowe</t>
  </si>
  <si>
    <t>Zakup pomocy naukowych,dydaktycznych i książek</t>
  </si>
  <si>
    <t>Odpis na zakł FSŚ</t>
  </si>
  <si>
    <t>Oddziały przedszkolne w szkołach podstawowych</t>
  </si>
  <si>
    <t>Podróże służbowe</t>
  </si>
  <si>
    <t>Dowożenie uczniów</t>
  </si>
  <si>
    <t>Opłata z tytułu zakupu usług telekomunikacyjnych telefonii komórkowej</t>
  </si>
  <si>
    <t>Licea Ogólnokształcące</t>
  </si>
  <si>
    <t>Licea Profilowane</t>
  </si>
  <si>
    <t>Dokształcanie zawodowe nauczycieli</t>
  </si>
  <si>
    <t>Zakup usług</t>
  </si>
  <si>
    <t>Zwalczanie narkomanii</t>
  </si>
  <si>
    <t>85154</t>
  </si>
  <si>
    <t>2820</t>
  </si>
  <si>
    <t>Dotacja celowa z budżetu na finansowanie lub dofinansowanie zadań do realizacji stowarzyszeniom</t>
  </si>
  <si>
    <t>Wydatki osobowe niezaliczone do wynagrodzeń</t>
  </si>
  <si>
    <t>Zakup materiałów</t>
  </si>
  <si>
    <t>4220</t>
  </si>
  <si>
    <t>Zakup żywności</t>
  </si>
  <si>
    <t>Usługi pozostałe</t>
  </si>
  <si>
    <t>Opłaty czynszowe za pomieszczenia biurowe</t>
  </si>
  <si>
    <t>Odpis na zakł. Fundusz Świadczeń Socjalnych</t>
  </si>
  <si>
    <t>Domy pomocy społecznej</t>
  </si>
  <si>
    <t>Ośrodki wsparcia</t>
  </si>
  <si>
    <t>Nagrody i wydatki osobowe nie zalicz. do wynagrodzeń</t>
  </si>
  <si>
    <t>Energia</t>
  </si>
  <si>
    <t>Świadczenia rodzinne oraz składki na ubezpieczenia emerytalne i rentowe z ubezpieczenia  społecznego</t>
  </si>
  <si>
    <t>Wydatki osob. nie zalicz. do wynagrodzeń</t>
  </si>
  <si>
    <t>Świadczenia społeczne</t>
  </si>
  <si>
    <t>Wynagrodzenia osobowe</t>
  </si>
  <si>
    <t>Składki ZUS</t>
  </si>
  <si>
    <t>Składki na ubezpieczenia zdrowotne opłacane za osoby pobierające niektóre świadczeńz z pomocy społecznej.oraz niektórych świadczeń rodzinnych</t>
  </si>
  <si>
    <t>Składki na ubezpieczenie zdrowotne</t>
  </si>
  <si>
    <t>Dotacja celowa z budżetu na finansowanie lub dofinansowanie zadań zleconych do realizacji pozostałym jednostkom niezaliczonym do sektora finansów publicznych- środki gminy</t>
  </si>
  <si>
    <t>Dodatki mieszkaniowe</t>
  </si>
  <si>
    <t>Wydatki osob. nie zalicz. do wynagr</t>
  </si>
  <si>
    <t>Odpłatność za usługi internetowe</t>
  </si>
  <si>
    <t>Różne opł. I składki</t>
  </si>
  <si>
    <t>Usługi opiekuńcze własne</t>
  </si>
  <si>
    <t>Świetlice szkolne</t>
  </si>
  <si>
    <t>Nagrody i wydatki osobowe</t>
  </si>
  <si>
    <t>Odpis na ZFŚS</t>
  </si>
  <si>
    <t>Stypendia dla uczniów</t>
  </si>
  <si>
    <t>Dokształcanie zawodowe</t>
  </si>
  <si>
    <t>90002</t>
  </si>
  <si>
    <t>Gospodarka odpadami</t>
  </si>
  <si>
    <t>Zakup usług pozostałych w tym:</t>
  </si>
  <si>
    <t>Zakup energii w tym:</t>
  </si>
  <si>
    <t>2480</t>
  </si>
  <si>
    <t>Dotacja podmiotowa z budżetu dla samorządowej instytucji kultury</t>
  </si>
  <si>
    <t>92116</t>
  </si>
  <si>
    <t>Biblioteki</t>
  </si>
  <si>
    <t>92120</t>
  </si>
  <si>
    <t xml:space="preserve">Dotacje celowe z budżetu  na finansowanie lub dofinansowanie  prac remontowych i konserwatorskich obiektów zabytkowych przekazane jednostkom niezaliczanym do sektora finansów publicznych </t>
  </si>
  <si>
    <t>2830</t>
  </si>
  <si>
    <t>Dotacja celowa z budżetu na finansowanie lub dofinansowanie  zadań zleconych do realizacji pozostałym jednostkom niezaliczanym do sektora finansów publicznych</t>
  </si>
  <si>
    <t>92695</t>
  </si>
  <si>
    <t>851</t>
  </si>
  <si>
    <t>URZĘDY NACZELNYCH ORGANÓW WŁADZY PAŃSTWOWEJ,KONTROLI I OCHRONY PRAWA ORAZ SĄDOWNICTWA</t>
  </si>
  <si>
    <t>OBSŁUGA DŁUGU PUBLICZNEGO</t>
  </si>
  <si>
    <t>GOSPODARKA KOMUNALNA I OCHRONA ŚRODOWISKA</t>
  </si>
  <si>
    <t>KULTURA FIZYCZNA I SPORT</t>
  </si>
  <si>
    <t>Koszty postępowania sądowego i prokuratorskiego</t>
  </si>
  <si>
    <t>Zakup  usług zdrowotnych</t>
  </si>
  <si>
    <t>% 8:7</t>
  </si>
  <si>
    <t>Drogi publiczne powiatowe /realizowane w drodze porozumienia/</t>
  </si>
  <si>
    <t>Inne formy pomocy dla uczniów</t>
  </si>
  <si>
    <t>kwota I wersja</t>
  </si>
  <si>
    <t>Zakup usług internetowych</t>
  </si>
  <si>
    <t>Szkolenia pracownicze</t>
  </si>
  <si>
    <t>Zakup usług obejmujących ekspertyzy</t>
  </si>
  <si>
    <t>wydatki bieżące</t>
  </si>
  <si>
    <t>Inwestycje</t>
  </si>
  <si>
    <t>Wydatki bieżące</t>
  </si>
  <si>
    <t>dotacje</t>
  </si>
  <si>
    <t>wyd.majątk.pozostałe</t>
  </si>
  <si>
    <t>wyd.majatk.pozostałe</t>
  </si>
  <si>
    <t>wydatki majątkowe pozostałe</t>
  </si>
  <si>
    <t>pozostałe wydatki majątkowe</t>
  </si>
  <si>
    <t>dotacja</t>
  </si>
  <si>
    <t>4010Z</t>
  </si>
  <si>
    <t>4110Z</t>
  </si>
  <si>
    <t>4120Z</t>
  </si>
  <si>
    <t>4010W</t>
  </si>
  <si>
    <t>4110W</t>
  </si>
  <si>
    <t>4120W</t>
  </si>
  <si>
    <t>inwestycje</t>
  </si>
  <si>
    <t>Pozostałe zadania w zakresie polityki społecznej</t>
  </si>
  <si>
    <t>Zarządzanie kryzysowe</t>
  </si>
  <si>
    <t>Szkolenia pracowników nie będących członkami korpusu służby cywilnej</t>
  </si>
  <si>
    <t>Zakup usług dostępu do internetu</t>
  </si>
  <si>
    <t>Stołówki szkolne</t>
  </si>
  <si>
    <t>Opłaty za administrowanie i czynsze za budynki,lokale i pomieszczenia garażowe</t>
  </si>
  <si>
    <t>dotacje w wydatkach bieżących</t>
  </si>
  <si>
    <t xml:space="preserve">dotacje w wydatkach bieżących </t>
  </si>
  <si>
    <t xml:space="preserve">dotacjew wydatkach bieżących </t>
  </si>
  <si>
    <t>pozostałe wydatki bieżące</t>
  </si>
  <si>
    <t xml:space="preserve">dotacje bieżące </t>
  </si>
  <si>
    <t>WYDAT BIEŻ(Razem-2-4)</t>
  </si>
  <si>
    <t>4040Z</t>
  </si>
  <si>
    <t>4040W</t>
  </si>
  <si>
    <t>4440W</t>
  </si>
  <si>
    <t>4440Z</t>
  </si>
  <si>
    <t>ZOGJO</t>
  </si>
  <si>
    <t>Zakup usług zdrowotnych ZOGJO</t>
  </si>
  <si>
    <t>Dodatkowe wynagrodzenia roczne ZOGJO</t>
  </si>
  <si>
    <t>URZĄD</t>
  </si>
  <si>
    <t>Wydatki na zakup i objęcie akacji, wniesienie wkładów do spółek prawa handlowego...</t>
  </si>
  <si>
    <t>w tym  rezerwa na odprawy</t>
  </si>
  <si>
    <t xml:space="preserve">  rezerwa  na zarzadzanie kryzysowe</t>
  </si>
  <si>
    <t xml:space="preserve"> w tym rezerwa ogólna </t>
  </si>
  <si>
    <t>4170W</t>
  </si>
  <si>
    <t>4210W</t>
  </si>
  <si>
    <t>4210Z</t>
  </si>
  <si>
    <t>4300W</t>
  </si>
  <si>
    <t>4300Z</t>
  </si>
  <si>
    <t xml:space="preserve">w tym wydatki bieżące </t>
  </si>
  <si>
    <t xml:space="preserve">    inwestycje </t>
  </si>
  <si>
    <t xml:space="preserve">           inwestycje </t>
  </si>
  <si>
    <t xml:space="preserve">w tym  PROGRAM   .........-MOPS </t>
  </si>
  <si>
    <t xml:space="preserve">w tym  wydatki zlecone </t>
  </si>
  <si>
    <t xml:space="preserve">     wydatki własne </t>
  </si>
  <si>
    <t xml:space="preserve">budowa sieci wodociagowej Studzianka </t>
  </si>
  <si>
    <t>UM</t>
  </si>
  <si>
    <t xml:space="preserve">Wydatki inwestycyjne jednostek i zakładów budżetowych , w tym : </t>
  </si>
  <si>
    <t xml:space="preserve">komputeryzacja </t>
  </si>
  <si>
    <t>Wykup nieruchomości</t>
  </si>
  <si>
    <t>Budowa kanalizacji sanitarnej i oczyszczalni ścieków w Radostowie</t>
  </si>
  <si>
    <t>Ciąg rekreacyjno spacerowy za UM-FOSA</t>
  </si>
  <si>
    <t>Zasiłki stałe</t>
  </si>
  <si>
    <t xml:space="preserve">w tym inwestycje </t>
  </si>
  <si>
    <t xml:space="preserve"> wydatki  bieżące </t>
  </si>
  <si>
    <t xml:space="preserve">       Suma  bież+inwest+mająt</t>
  </si>
  <si>
    <t xml:space="preserve">  Razem  </t>
  </si>
  <si>
    <t xml:space="preserve">         Razem </t>
  </si>
  <si>
    <t xml:space="preserve">                Razem </t>
  </si>
  <si>
    <t xml:space="preserve">                            Razem </t>
  </si>
  <si>
    <t xml:space="preserve">pozostałe wydatki majątkowe </t>
  </si>
  <si>
    <r>
      <t>Obsługa pap. wart., kredyt. i pożyczek jst</t>
    </r>
    <r>
      <rPr>
        <sz val="8"/>
        <rFont val="Times New Roman"/>
        <family val="1"/>
      </rPr>
      <t>.</t>
    </r>
  </si>
  <si>
    <t>Zakup usług od j.st./odpł.za skierowane osoby/</t>
  </si>
  <si>
    <r>
      <t>Zasiłki i pomoc w naturze oraz składki na ubezpieczenie społecz</t>
    </r>
    <r>
      <rPr>
        <sz val="8"/>
        <rFont val="Times New Roman"/>
        <family val="1"/>
      </rPr>
      <t>ne</t>
    </r>
  </si>
  <si>
    <t>Zakup leków, wyrobów medycznych i produktów biobójczych</t>
  </si>
  <si>
    <t>własne</t>
  </si>
  <si>
    <t>zlecone</t>
  </si>
  <si>
    <t>Opłaty na rzecz budżetów jst</t>
  </si>
  <si>
    <t>Rózne wydatki na rzezcz osób fizycznych</t>
  </si>
  <si>
    <t>Wpłaty na PFRON</t>
  </si>
  <si>
    <t>Zakup środków żywności</t>
  </si>
  <si>
    <t>SP Franknowo</t>
  </si>
  <si>
    <t>Podatek od nieruchomosci</t>
  </si>
  <si>
    <t>%  11:10</t>
  </si>
  <si>
    <t>Razem</t>
  </si>
  <si>
    <t>bieżące</t>
  </si>
  <si>
    <t>razem</t>
  </si>
  <si>
    <t xml:space="preserve">kwota II wersja   NIE </t>
  </si>
  <si>
    <t>MOPS</t>
  </si>
  <si>
    <t>Droga Tłokowo</t>
  </si>
  <si>
    <t>Zakup pozostałych usług + oświetlenie świąteczne</t>
  </si>
  <si>
    <t>Rodziny zastępcze</t>
  </si>
  <si>
    <t xml:space="preserve">wynagrodzenia </t>
  </si>
  <si>
    <t>Zadania realizowane w ramach funduszu sołeckiego</t>
  </si>
  <si>
    <t>Fundusz Sołecki</t>
  </si>
  <si>
    <t>Wykonanie za 2011r.</t>
  </si>
  <si>
    <t>Plan z Uchwały Rady na 2012</t>
  </si>
  <si>
    <t xml:space="preserve">Plan na 2012 wg stanu na 30.09.2012 </t>
  </si>
  <si>
    <t>Wykonanie na 30.09.2012</t>
  </si>
  <si>
    <t>Przewidywane wykonanie za 2012 rok</t>
  </si>
  <si>
    <t>Projekt budżetu na 2013 rok</t>
  </si>
  <si>
    <t>SP Radostowo</t>
  </si>
  <si>
    <t>Dotacje podmiotowe z budżetu dla publicznej jednostki systemu oświaty</t>
  </si>
  <si>
    <t>Stacje uzdatniania wody w msc. Franknowo, Radostowo, Wójtówko, Jeziorany</t>
  </si>
  <si>
    <t>Budowa obwodnicy Jezioran</t>
  </si>
  <si>
    <t>Zagospodarowanie terenu przed budynkiem dawnego Kina</t>
  </si>
  <si>
    <t>Placówki opiekuńczo-wychowawcze</t>
  </si>
  <si>
    <t>Wpłaty gmin i pow. Na rzecz innych jst</t>
  </si>
  <si>
    <t>Przebudowa chodników w ciągu drogi wojewódzkiej nr 593 ul. Kopernika, I-go Maja porozumienie z ZDW</t>
  </si>
  <si>
    <t>Kary i odszkodowania wypłacane na rzecz osób fizycznych</t>
  </si>
  <si>
    <t>Zakup usług przez jst od innych jst</t>
  </si>
  <si>
    <t>Wspieranie rodziny</t>
  </si>
  <si>
    <t>Opłaty z tytułu zakupu usług telekomunikacyjnych świadczonych w ruchomej publicznej sieci telefonicznej</t>
  </si>
  <si>
    <t>Wpływy i wydatki związane z gromadzeniem środków z opłat i kar za korzystanie ze środowiska</t>
  </si>
  <si>
    <t>Obiekty sportowe</t>
  </si>
  <si>
    <t>RAZEM WYDATKI GMINY</t>
  </si>
  <si>
    <t xml:space="preserve">Zbiorczo   wydatki GMINY </t>
  </si>
  <si>
    <t>Razem wydatki MAJĄTKOWE</t>
  </si>
  <si>
    <t>FRANKNOWO</t>
  </si>
  <si>
    <t>UE</t>
  </si>
  <si>
    <t>OGÓŁEM UE</t>
  </si>
  <si>
    <t>w tym UE</t>
  </si>
  <si>
    <t xml:space="preserve">       Razem  bez w tym UE  </t>
  </si>
  <si>
    <t xml:space="preserve">           Razem   bez w tym UE </t>
  </si>
  <si>
    <t xml:space="preserve"> w tym : UE</t>
  </si>
  <si>
    <t xml:space="preserve">         Razem  bez  w tym UE </t>
  </si>
  <si>
    <t>w tym  :UE</t>
  </si>
  <si>
    <t xml:space="preserve">   Razem  bez w tym UE </t>
  </si>
  <si>
    <t xml:space="preserve">       Razem bez w tym UE </t>
  </si>
  <si>
    <t xml:space="preserve">wykup sieci w Dercu </t>
  </si>
  <si>
    <t>Rozliczenia z tytułu poręczeń i gwarancji udzielonych przez  jst</t>
  </si>
  <si>
    <t xml:space="preserve">Wypłaty z tytułu gwarancji i poręczeń </t>
  </si>
  <si>
    <t>Wynbagrodzenia agencyjno-prowizyjne</t>
  </si>
  <si>
    <t>Dotacje celowe z budżetu jednostki samorządu terytorialnego, udzielone w trybie art.221 ustawy, na finansowanie lub dofinansowanie zadań zleconych do realizacji organizacjom prowadzacym działalnosć pożytku publicznego</t>
  </si>
  <si>
    <t>Str.%</t>
  </si>
  <si>
    <t>Strukt.%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</si>
</sst>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%"/>
    <numFmt numFmtId="174" formatCode="00\-000"/>
    <numFmt numFmtId="175" formatCode="#,##0.000"/>
  </numFmts>
  <fonts count="3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i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0" fillId="0" borderId="0" xfId="0" applyNumberFormat="1" applyAlignment="1">
      <alignment horizontal="left"/>
    </xf>
    <xf numFmtId="4" fontId="3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1" fillId="0" borderId="12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6" fontId="1" fillId="0" borderId="10" xfId="0" applyNumberFormat="1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left"/>
    </xf>
    <xf numFmtId="4" fontId="2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/>
    </xf>
    <xf numFmtId="4" fontId="1" fillId="0" borderId="14" xfId="0" applyNumberFormat="1" applyFont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left" vertical="top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4" fontId="9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horizontal="left"/>
    </xf>
    <xf numFmtId="4" fontId="0" fillId="0" borderId="0" xfId="0" applyNumberFormat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3" fillId="0" borderId="11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/>
    </xf>
    <xf numFmtId="4" fontId="7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left"/>
    </xf>
    <xf numFmtId="1" fontId="2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2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 vertical="top" wrapTex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/>
    </xf>
    <xf numFmtId="1" fontId="8" fillId="0" borderId="10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left" vertical="top" wrapText="1"/>
    </xf>
    <xf numFmtId="4" fontId="8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2"/>
  <sheetViews>
    <sheetView tabSelected="1" workbookViewId="0" topLeftCell="A760">
      <pane xSplit="18615" topLeftCell="V1" activePane="topLeft" state="split"/>
      <selection pane="topLeft" activeCell="L771" sqref="L771"/>
      <selection pane="topRight" activeCell="G1" sqref="G1:G16384"/>
    </sheetView>
  </sheetViews>
  <sheetFormatPr defaultColWidth="9.140625" defaultRowHeight="12.75"/>
  <cols>
    <col min="1" max="1" width="4.57421875" style="9" customWidth="1"/>
    <col min="2" max="2" width="6.57421875" style="0" customWidth="1"/>
    <col min="3" max="3" width="5.57421875" style="0" customWidth="1"/>
    <col min="4" max="4" width="40.421875" style="10" customWidth="1"/>
    <col min="5" max="6" width="11.7109375" style="7" hidden="1" customWidth="1"/>
    <col min="7" max="7" width="14.7109375" style="7" hidden="1" customWidth="1"/>
    <col min="8" max="8" width="11.7109375" style="7" hidden="1" customWidth="1"/>
    <col min="9" max="9" width="3.140625" style="14" hidden="1" customWidth="1"/>
    <col min="10" max="10" width="12.00390625" style="7" customWidth="1"/>
    <col min="11" max="11" width="4.8515625" style="121" customWidth="1"/>
    <col min="12" max="12" width="11.7109375" style="30" bestFit="1" customWidth="1"/>
    <col min="13" max="13" width="0" style="30" hidden="1" customWidth="1"/>
    <col min="14" max="14" width="4.00390625" style="117" customWidth="1"/>
    <col min="15" max="15" width="4.8515625" style="118" customWidth="1"/>
    <col min="16" max="16" width="8.7109375" style="0" customWidth="1"/>
    <col min="17" max="17" width="6.421875" style="0" customWidth="1"/>
  </cols>
  <sheetData>
    <row r="1" spans="1:15" s="1" customFormat="1" ht="30" customHeight="1">
      <c r="A1" s="139" t="s">
        <v>0</v>
      </c>
      <c r="B1" s="154" t="s">
        <v>1</v>
      </c>
      <c r="C1" s="154" t="s">
        <v>2</v>
      </c>
      <c r="D1" s="154" t="s">
        <v>3</v>
      </c>
      <c r="E1" s="141" t="s">
        <v>321</v>
      </c>
      <c r="F1" s="141" t="s">
        <v>322</v>
      </c>
      <c r="G1" s="141" t="s">
        <v>323</v>
      </c>
      <c r="H1" s="166" t="s">
        <v>324</v>
      </c>
      <c r="I1" s="167"/>
      <c r="J1" s="165" t="s">
        <v>325</v>
      </c>
      <c r="K1" s="173" t="s">
        <v>360</v>
      </c>
      <c r="L1" s="156" t="s">
        <v>326</v>
      </c>
      <c r="M1" s="156"/>
      <c r="N1" s="156"/>
      <c r="O1" s="4"/>
    </row>
    <row r="2" spans="1:16" ht="30.75" customHeight="1">
      <c r="A2" s="139"/>
      <c r="B2" s="154"/>
      <c r="C2" s="154"/>
      <c r="D2" s="154"/>
      <c r="E2" s="142"/>
      <c r="F2" s="142"/>
      <c r="G2" s="142"/>
      <c r="H2" s="6" t="s">
        <v>4</v>
      </c>
      <c r="I2" s="36" t="s">
        <v>223</v>
      </c>
      <c r="J2" s="165"/>
      <c r="K2" s="174"/>
      <c r="L2" s="6" t="s">
        <v>226</v>
      </c>
      <c r="M2" s="43" t="s">
        <v>313</v>
      </c>
      <c r="N2" s="36" t="s">
        <v>309</v>
      </c>
      <c r="O2" s="36" t="s">
        <v>361</v>
      </c>
      <c r="P2" s="94" t="s">
        <v>320</v>
      </c>
    </row>
    <row r="3" spans="1:15" s="2" customFormat="1" ht="12.75">
      <c r="A3" s="32">
        <v>1</v>
      </c>
      <c r="B3" s="33">
        <v>2</v>
      </c>
      <c r="C3" s="33">
        <v>3</v>
      </c>
      <c r="D3" s="33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62">
        <v>10</v>
      </c>
      <c r="K3" s="119"/>
      <c r="L3" s="36">
        <v>11</v>
      </c>
      <c r="M3" s="37"/>
      <c r="N3" s="36">
        <v>12</v>
      </c>
      <c r="O3" s="36"/>
    </row>
    <row r="4" spans="1:16" s="2" customFormat="1" ht="12.75">
      <c r="A4" s="143" t="s">
        <v>5</v>
      </c>
      <c r="B4" s="33"/>
      <c r="C4" s="33"/>
      <c r="D4" s="3" t="s">
        <v>34</v>
      </c>
      <c r="E4" s="5" t="e">
        <f>E9+E24+E26</f>
        <v>#REF!</v>
      </c>
      <c r="F4" s="5" t="e">
        <f>F9+F24+F26</f>
        <v>#REF!</v>
      </c>
      <c r="G4" s="5" t="e">
        <f>G9+G24+G26</f>
        <v>#REF!</v>
      </c>
      <c r="H4" s="5" t="e">
        <f>H9+H24+H26</f>
        <v>#REF!</v>
      </c>
      <c r="I4" s="38" t="e">
        <f>(H4/G4)*100</f>
        <v>#REF!</v>
      </c>
      <c r="J4" s="5">
        <f>J9+J24+J26</f>
        <v>350739.25000000006</v>
      </c>
      <c r="K4" s="120">
        <f>(J4/$J$769)*100</f>
        <v>1.3169633069965718</v>
      </c>
      <c r="L4" s="5">
        <f>L9+L24+L26</f>
        <v>855132.3300000001</v>
      </c>
      <c r="M4" s="45" t="e">
        <f>M9+M24+M26</f>
        <v>#REF!</v>
      </c>
      <c r="N4" s="38">
        <f>(L4/J4)*100</f>
        <v>243.808564339463</v>
      </c>
      <c r="O4" s="38">
        <f>L4/$L$769*100</f>
        <v>3.4477896842524203</v>
      </c>
      <c r="P4" s="89"/>
    </row>
    <row r="5" spans="1:16" s="2" customFormat="1" ht="12.75">
      <c r="A5" s="144"/>
      <c r="B5" s="33"/>
      <c r="C5" s="33"/>
      <c r="D5" s="8" t="s">
        <v>230</v>
      </c>
      <c r="E5" s="6" t="e">
        <f>E10+E11+#REF!+E12+E13+#REF!+E14+E15+E25+E27+E28+E29+#REF!+E30+E31+E32+E33</f>
        <v>#REF!</v>
      </c>
      <c r="F5" s="6" t="e">
        <f>F10+F11+#REF!+F12+F13+#REF!+F14+F15+F25+F27+F28+F29+#REF!+F30+F31+F32+F33</f>
        <v>#REF!</v>
      </c>
      <c r="G5" s="6" t="e">
        <f>G10+G11+#REF!+G12+G13+#REF!+G14+G15+G25+G27+G28+G29+#REF!+G30+G31+G32+G33</f>
        <v>#REF!</v>
      </c>
      <c r="H5" s="6" t="e">
        <f>H10+H11+#REF!+H12+H13+#REF!+H14+H15+H25+H27+H28+H29+#REF!+H30+H31+H32+H33</f>
        <v>#REF!</v>
      </c>
      <c r="I5" s="38" t="e">
        <f>(H5/G5)*100</f>
        <v>#REF!</v>
      </c>
      <c r="J5" s="6">
        <f>J10+J11+J12+J13+J14+J15+J25+J27+J28+J29+J30+J31+J32+J33</f>
        <v>321065.26</v>
      </c>
      <c r="K5" s="119">
        <f aca="true" t="shared" si="0" ref="K5:K68">(J5/$J$769)*100</f>
        <v>1.2055427687985139</v>
      </c>
      <c r="L5" s="6">
        <f>L10+L11+L12+L13+L14+L15+L25+L27+L28+L29+L30+L31+L32+L33</f>
        <v>49950</v>
      </c>
      <c r="M5" s="43" t="e">
        <f>M10+M11+#REF!+M12+M13+#REF!+M14+M15+M25+M27+M28+M29+#REF!+M30+M31+M32+M33</f>
        <v>#REF!</v>
      </c>
      <c r="N5" s="38">
        <f>(L5/J5)*100</f>
        <v>15.557584772640926</v>
      </c>
      <c r="O5" s="36">
        <f aca="true" t="shared" si="1" ref="O5:O68">L5/$L$769*100</f>
        <v>0.20139233272633764</v>
      </c>
      <c r="P5" s="89"/>
    </row>
    <row r="6" spans="1:16" s="2" customFormat="1" ht="12.75">
      <c r="A6" s="144"/>
      <c r="B6" s="33"/>
      <c r="C6" s="33"/>
      <c r="D6" s="8" t="s">
        <v>231</v>
      </c>
      <c r="E6" s="6" t="e">
        <f>#REF!+E19+E22+E16+#REF!+#REF!</f>
        <v>#REF!</v>
      </c>
      <c r="F6" s="6" t="e">
        <f>#REF!+F19+F22+F16</f>
        <v>#REF!</v>
      </c>
      <c r="G6" s="6" t="e">
        <f>#REF!+G19+G22+G16</f>
        <v>#REF!</v>
      </c>
      <c r="H6" s="6" t="e">
        <f>#REF!+H19+H22+H16</f>
        <v>#REF!</v>
      </c>
      <c r="I6" s="38" t="e">
        <f>(H6/G6)*100</f>
        <v>#REF!</v>
      </c>
      <c r="J6" s="6">
        <f>J19+J22+J16</f>
        <v>29673.99</v>
      </c>
      <c r="K6" s="119">
        <f t="shared" si="0"/>
        <v>0.11142053819805796</v>
      </c>
      <c r="L6" s="6">
        <f>L19+L22+L16</f>
        <v>805182.3300000001</v>
      </c>
      <c r="M6" s="43" t="e">
        <f>#REF!+M19+M22+M16</f>
        <v>#REF!</v>
      </c>
      <c r="N6" s="36">
        <f>(L6/J6)*100</f>
        <v>2713.4279212198967</v>
      </c>
      <c r="O6" s="36">
        <f t="shared" si="1"/>
        <v>3.246397351526083</v>
      </c>
      <c r="P6" s="89"/>
    </row>
    <row r="7" spans="1:16" s="2" customFormat="1" ht="12.75">
      <c r="A7" s="144"/>
      <c r="B7" s="33"/>
      <c r="C7" s="33"/>
      <c r="D7" s="8" t="s">
        <v>345</v>
      </c>
      <c r="E7" s="6"/>
      <c r="F7" s="6"/>
      <c r="G7" s="6"/>
      <c r="H7" s="6"/>
      <c r="I7" s="38"/>
      <c r="J7" s="6"/>
      <c r="K7" s="119">
        <f t="shared" si="0"/>
        <v>0</v>
      </c>
      <c r="L7" s="6">
        <f>+L16+L19</f>
        <v>805182.3300000001</v>
      </c>
      <c r="M7" s="43"/>
      <c r="N7" s="36"/>
      <c r="O7" s="36">
        <f t="shared" si="1"/>
        <v>3.246397351526083</v>
      </c>
      <c r="P7" s="89"/>
    </row>
    <row r="8" spans="1:16" s="2" customFormat="1" ht="12.75">
      <c r="A8" s="144"/>
      <c r="B8" s="33"/>
      <c r="C8" s="33"/>
      <c r="D8" s="23" t="s">
        <v>294</v>
      </c>
      <c r="E8" s="27" t="e">
        <f>SUM(E5:E6)</f>
        <v>#REF!</v>
      </c>
      <c r="F8" s="27" t="e">
        <f>SUM(F5:F6)</f>
        <v>#REF!</v>
      </c>
      <c r="G8" s="27" t="e">
        <f>SUM(G5:G6)</f>
        <v>#REF!</v>
      </c>
      <c r="H8" s="27" t="e">
        <f>SUM(H5:H6)</f>
        <v>#REF!</v>
      </c>
      <c r="I8" s="38" t="e">
        <f aca="true" t="shared" si="2" ref="I8:I14">(H8/G8)*100</f>
        <v>#REF!</v>
      </c>
      <c r="J8" s="27">
        <f>SUM(J5:J6)</f>
        <v>350739.25</v>
      </c>
      <c r="K8" s="119">
        <f t="shared" si="0"/>
        <v>1.3169633069965718</v>
      </c>
      <c r="L8" s="27">
        <f>SUM(L5:L6)</f>
        <v>855132.3300000001</v>
      </c>
      <c r="M8" s="31" t="e">
        <f>SUM(M5:M6)</f>
        <v>#REF!</v>
      </c>
      <c r="N8" s="113">
        <f aca="true" t="shared" si="3" ref="N8:N13">(L8/J8)*100</f>
        <v>243.808564339463</v>
      </c>
      <c r="O8" s="36">
        <f t="shared" si="1"/>
        <v>3.4477896842524203</v>
      </c>
      <c r="P8" s="89"/>
    </row>
    <row r="9" spans="1:16" ht="12.75">
      <c r="A9" s="145"/>
      <c r="B9" s="168" t="s">
        <v>6</v>
      </c>
      <c r="C9" s="3"/>
      <c r="D9" s="3" t="s">
        <v>35</v>
      </c>
      <c r="E9" s="5" t="e">
        <f>E10+E11+#REF!+E12+E13+#REF!+E19+E22+#REF!+E14+E15+E16</f>
        <v>#REF!</v>
      </c>
      <c r="F9" s="5" t="e">
        <f>F10+F11+#REF!+F12+F13+#REF!+F19+F22+#REF!+F14+F15+F16</f>
        <v>#REF!</v>
      </c>
      <c r="G9" s="5" t="e">
        <f>G10+G11+#REF!+G12+G13+#REF!+G19+G22+#REF!+G14+G15+G16</f>
        <v>#REF!</v>
      </c>
      <c r="H9" s="5" t="e">
        <f>H10+H11+#REF!+H12+H13+#REF!+H19+H22+#REF!+H14+H15+H16</f>
        <v>#REF!</v>
      </c>
      <c r="I9" s="38" t="e">
        <f t="shared" si="2"/>
        <v>#REF!</v>
      </c>
      <c r="J9" s="5">
        <f>J10+J11+J12+J13+J19+J22+J14+J15+J16</f>
        <v>45260.64000000001</v>
      </c>
      <c r="K9" s="120">
        <f t="shared" si="0"/>
        <v>0.16994562807322341</v>
      </c>
      <c r="L9" s="5">
        <f>L10+L11+L12+L13+L19+L22+L14+L15+L16</f>
        <v>823132.3300000001</v>
      </c>
      <c r="M9" s="45" t="e">
        <f>M10+M11+#REF!+M12+M13+#REF!+M19+M22+#REF!+M14+M15+M16</f>
        <v>#REF!</v>
      </c>
      <c r="N9" s="36">
        <f t="shared" si="3"/>
        <v>1818.6493385864626</v>
      </c>
      <c r="O9" s="38">
        <f t="shared" si="1"/>
        <v>3.318769571194506</v>
      </c>
      <c r="P9" s="90"/>
    </row>
    <row r="10" spans="1:16" ht="14.25" customHeight="1">
      <c r="A10" s="145"/>
      <c r="B10" s="148"/>
      <c r="C10" s="4">
        <v>4210</v>
      </c>
      <c r="D10" s="4" t="s">
        <v>74</v>
      </c>
      <c r="E10" s="6">
        <v>421.82</v>
      </c>
      <c r="F10" s="6">
        <v>100</v>
      </c>
      <c r="G10" s="6">
        <v>100</v>
      </c>
      <c r="H10" s="6">
        <v>41.82</v>
      </c>
      <c r="I10" s="36">
        <f t="shared" si="2"/>
        <v>41.82</v>
      </c>
      <c r="J10" s="6">
        <v>100</v>
      </c>
      <c r="K10" s="119">
        <f t="shared" si="0"/>
        <v>0.0003754821586111539</v>
      </c>
      <c r="L10" s="29">
        <v>150</v>
      </c>
      <c r="M10" s="77"/>
      <c r="N10" s="36">
        <f t="shared" si="3"/>
        <v>150</v>
      </c>
      <c r="O10" s="36">
        <f t="shared" si="1"/>
        <v>0.000604781779958972</v>
      </c>
      <c r="P10" s="90"/>
    </row>
    <row r="11" spans="1:16" ht="12.75">
      <c r="A11" s="145"/>
      <c r="B11" s="148"/>
      <c r="C11" s="4">
        <v>4260</v>
      </c>
      <c r="D11" s="4" t="s">
        <v>75</v>
      </c>
      <c r="E11" s="6">
        <v>2551.02</v>
      </c>
      <c r="F11" s="6">
        <v>4000</v>
      </c>
      <c r="G11" s="6">
        <v>4000</v>
      </c>
      <c r="H11" s="6">
        <v>3438.37</v>
      </c>
      <c r="I11" s="36">
        <f t="shared" si="2"/>
        <v>85.95925</v>
      </c>
      <c r="J11" s="6">
        <v>4000</v>
      </c>
      <c r="K11" s="119">
        <f t="shared" si="0"/>
        <v>0.015019286344446157</v>
      </c>
      <c r="L11" s="29">
        <v>4300</v>
      </c>
      <c r="M11" s="77"/>
      <c r="N11" s="36">
        <f t="shared" si="3"/>
        <v>107.5</v>
      </c>
      <c r="O11" s="35">
        <f t="shared" si="1"/>
        <v>0.0173370776921572</v>
      </c>
      <c r="P11" s="90"/>
    </row>
    <row r="12" spans="1:16" ht="12.75">
      <c r="A12" s="145"/>
      <c r="B12" s="148"/>
      <c r="C12" s="4" t="s">
        <v>78</v>
      </c>
      <c r="D12" s="4" t="s">
        <v>79</v>
      </c>
      <c r="E12" s="6">
        <v>45.83</v>
      </c>
      <c r="F12" s="6">
        <v>6200</v>
      </c>
      <c r="G12" s="6">
        <v>6200</v>
      </c>
      <c r="H12" s="6"/>
      <c r="I12" s="36">
        <f t="shared" si="2"/>
        <v>0</v>
      </c>
      <c r="J12" s="6">
        <v>1000</v>
      </c>
      <c r="K12" s="119">
        <f t="shared" si="0"/>
        <v>0.0037548215861115393</v>
      </c>
      <c r="L12" s="29">
        <v>1500</v>
      </c>
      <c r="M12" s="77"/>
      <c r="N12" s="36">
        <f t="shared" si="3"/>
        <v>150</v>
      </c>
      <c r="O12" s="35">
        <f t="shared" si="1"/>
        <v>0.0060478177995897196</v>
      </c>
      <c r="P12" s="90"/>
    </row>
    <row r="13" spans="1:16" ht="12.75">
      <c r="A13" s="145"/>
      <c r="B13" s="148"/>
      <c r="C13" s="4" t="s">
        <v>80</v>
      </c>
      <c r="D13" s="4" t="s">
        <v>81</v>
      </c>
      <c r="E13" s="6">
        <v>5612</v>
      </c>
      <c r="F13" s="6">
        <v>6500</v>
      </c>
      <c r="G13" s="6">
        <v>6500</v>
      </c>
      <c r="H13" s="6">
        <v>5462</v>
      </c>
      <c r="I13" s="36">
        <f t="shared" si="2"/>
        <v>84.03076923076924</v>
      </c>
      <c r="J13" s="6">
        <v>5500</v>
      </c>
      <c r="K13" s="119">
        <f t="shared" si="0"/>
        <v>0.020651518723613465</v>
      </c>
      <c r="L13" s="29">
        <v>6500</v>
      </c>
      <c r="M13" s="77"/>
      <c r="N13" s="36">
        <f t="shared" si="3"/>
        <v>118.18181818181819</v>
      </c>
      <c r="O13" s="35">
        <f t="shared" si="1"/>
        <v>0.026207210464888782</v>
      </c>
      <c r="P13" s="90"/>
    </row>
    <row r="14" spans="1:16" ht="22.5">
      <c r="A14" s="145"/>
      <c r="B14" s="148"/>
      <c r="C14" s="4">
        <v>4590</v>
      </c>
      <c r="D14" s="4" t="s">
        <v>335</v>
      </c>
      <c r="E14" s="6"/>
      <c r="F14" s="6"/>
      <c r="G14" s="6">
        <v>4865</v>
      </c>
      <c r="H14" s="6">
        <v>4864.65</v>
      </c>
      <c r="I14" s="36">
        <f t="shared" si="2"/>
        <v>99.99280575539568</v>
      </c>
      <c r="J14" s="6">
        <v>4864.65</v>
      </c>
      <c r="K14" s="119">
        <f t="shared" si="0"/>
        <v>0.0182658928288775</v>
      </c>
      <c r="L14" s="29">
        <v>5000</v>
      </c>
      <c r="M14" s="77"/>
      <c r="N14" s="36"/>
      <c r="O14" s="35">
        <f t="shared" si="1"/>
        <v>0.020159392665299068</v>
      </c>
      <c r="P14" s="90"/>
    </row>
    <row r="15" spans="1:16" ht="12.75">
      <c r="A15" s="145"/>
      <c r="B15" s="148"/>
      <c r="C15" s="49">
        <v>4610</v>
      </c>
      <c r="D15" s="4" t="s">
        <v>221</v>
      </c>
      <c r="E15" s="6"/>
      <c r="F15" s="6"/>
      <c r="G15" s="6">
        <v>122</v>
      </c>
      <c r="H15" s="6">
        <v>122</v>
      </c>
      <c r="I15" s="36"/>
      <c r="J15" s="6">
        <v>122</v>
      </c>
      <c r="K15" s="119">
        <f t="shared" si="0"/>
        <v>0.0004580882335056078</v>
      </c>
      <c r="L15" s="29">
        <v>500</v>
      </c>
      <c r="M15" s="77"/>
      <c r="N15" s="36"/>
      <c r="O15" s="35">
        <f t="shared" si="1"/>
        <v>0.0020159392665299062</v>
      </c>
      <c r="P15" s="90"/>
    </row>
    <row r="16" spans="1:16" s="68" customFormat="1" ht="12.75">
      <c r="A16" s="145"/>
      <c r="B16" s="148"/>
      <c r="C16" s="135">
        <v>6057</v>
      </c>
      <c r="D16" s="3" t="s">
        <v>38</v>
      </c>
      <c r="E16" s="5">
        <f aca="true" t="shared" si="4" ref="E16:M16">E17+E18</f>
        <v>0</v>
      </c>
      <c r="F16" s="5">
        <f t="shared" si="4"/>
        <v>0</v>
      </c>
      <c r="G16" s="5">
        <f t="shared" si="4"/>
        <v>0</v>
      </c>
      <c r="H16" s="5">
        <f t="shared" si="4"/>
        <v>0</v>
      </c>
      <c r="I16" s="5">
        <f t="shared" si="4"/>
        <v>0</v>
      </c>
      <c r="J16" s="5">
        <f t="shared" si="4"/>
        <v>0</v>
      </c>
      <c r="K16" s="119">
        <f t="shared" si="0"/>
        <v>0</v>
      </c>
      <c r="L16" s="5">
        <f t="shared" si="4"/>
        <v>423419.15</v>
      </c>
      <c r="M16" s="45">
        <f t="shared" si="4"/>
        <v>0</v>
      </c>
      <c r="N16" s="38"/>
      <c r="O16" s="35">
        <f t="shared" si="1"/>
        <v>1.7071745813714332</v>
      </c>
      <c r="P16" s="91"/>
    </row>
    <row r="17" spans="1:16" s="68" customFormat="1" ht="14.25" customHeight="1">
      <c r="A17" s="145"/>
      <c r="B17" s="148"/>
      <c r="C17" s="151"/>
      <c r="D17" s="23" t="s">
        <v>281</v>
      </c>
      <c r="E17" s="11"/>
      <c r="F17" s="11"/>
      <c r="G17" s="11"/>
      <c r="H17" s="11"/>
      <c r="I17" s="36"/>
      <c r="J17" s="11"/>
      <c r="K17" s="119">
        <f t="shared" si="0"/>
        <v>0</v>
      </c>
      <c r="L17" s="97">
        <v>241163.37</v>
      </c>
      <c r="M17" s="98"/>
      <c r="N17" s="36"/>
      <c r="O17" s="35">
        <f t="shared" si="1"/>
        <v>0.9723414144633609</v>
      </c>
      <c r="P17" s="91"/>
    </row>
    <row r="18" spans="1:16" s="68" customFormat="1" ht="22.5">
      <c r="A18" s="145"/>
      <c r="B18" s="148"/>
      <c r="C18" s="149"/>
      <c r="D18" s="23" t="s">
        <v>329</v>
      </c>
      <c r="E18" s="11"/>
      <c r="F18" s="11"/>
      <c r="G18" s="11"/>
      <c r="H18" s="11"/>
      <c r="I18" s="36"/>
      <c r="J18" s="11"/>
      <c r="K18" s="119">
        <f t="shared" si="0"/>
        <v>0</v>
      </c>
      <c r="L18" s="97">
        <v>182255.78</v>
      </c>
      <c r="M18" s="98"/>
      <c r="N18" s="36"/>
      <c r="O18" s="35">
        <f t="shared" si="1"/>
        <v>0.734833166908072</v>
      </c>
      <c r="P18" s="91"/>
    </row>
    <row r="19" spans="1:16" ht="12.75">
      <c r="A19" s="145"/>
      <c r="B19" s="148"/>
      <c r="C19" s="162" t="s">
        <v>37</v>
      </c>
      <c r="D19" s="24" t="s">
        <v>38</v>
      </c>
      <c r="E19" s="25"/>
      <c r="F19" s="25"/>
      <c r="G19" s="25">
        <v>7995</v>
      </c>
      <c r="H19" s="25">
        <v>235.4</v>
      </c>
      <c r="I19" s="73" t="e">
        <f>I20+I21</f>
        <v>#DIV/0!</v>
      </c>
      <c r="J19" s="25">
        <v>7995</v>
      </c>
      <c r="K19" s="119">
        <f t="shared" si="0"/>
        <v>0.030019798580961758</v>
      </c>
      <c r="L19" s="25">
        <f>L20+L21</f>
        <v>381763.18</v>
      </c>
      <c r="M19" s="78">
        <f>M20+M21</f>
        <v>0</v>
      </c>
      <c r="N19" s="39">
        <f>(L19/J22)*100</f>
        <v>1760.9823151355297</v>
      </c>
      <c r="O19" s="35">
        <f t="shared" si="1"/>
        <v>1.5392227701546495</v>
      </c>
      <c r="P19" s="90"/>
    </row>
    <row r="20" spans="1:16" ht="15.75" customHeight="1">
      <c r="A20" s="145"/>
      <c r="B20" s="148"/>
      <c r="C20" s="151"/>
      <c r="D20" s="23" t="s">
        <v>281</v>
      </c>
      <c r="E20" s="27"/>
      <c r="F20" s="27"/>
      <c r="G20" s="27"/>
      <c r="H20" s="6"/>
      <c r="I20" s="36" t="e">
        <f>(H20/G20)*100</f>
        <v>#DIV/0!</v>
      </c>
      <c r="J20" s="6"/>
      <c r="K20" s="119">
        <f t="shared" si="0"/>
        <v>0</v>
      </c>
      <c r="L20" s="29">
        <v>265119.48</v>
      </c>
      <c r="M20" s="77"/>
      <c r="N20" s="36"/>
      <c r="O20" s="35">
        <f t="shared" si="1"/>
        <v>1.0689295401079804</v>
      </c>
      <c r="P20" s="90"/>
    </row>
    <row r="21" spans="1:16" ht="25.5" customHeight="1">
      <c r="A21" s="145"/>
      <c r="B21" s="148"/>
      <c r="C21" s="149"/>
      <c r="D21" s="23" t="s">
        <v>329</v>
      </c>
      <c r="E21" s="27"/>
      <c r="F21" s="27"/>
      <c r="G21" s="27"/>
      <c r="H21" s="6"/>
      <c r="I21" s="36" t="e">
        <f>(H21/G21)*100</f>
        <v>#DIV/0!</v>
      </c>
      <c r="J21" s="6"/>
      <c r="K21" s="119">
        <f t="shared" si="0"/>
        <v>0</v>
      </c>
      <c r="L21" s="29">
        <v>116643.7</v>
      </c>
      <c r="M21" s="77"/>
      <c r="N21" s="36"/>
      <c r="O21" s="35">
        <f t="shared" si="1"/>
        <v>0.4702932300466689</v>
      </c>
      <c r="P21" s="90"/>
    </row>
    <row r="22" spans="1:16" ht="12.75">
      <c r="A22" s="145"/>
      <c r="B22" s="148"/>
      <c r="C22" s="99" t="s">
        <v>39</v>
      </c>
      <c r="D22" s="24" t="s">
        <v>40</v>
      </c>
      <c r="E22" s="25"/>
      <c r="F22" s="25">
        <v>35000</v>
      </c>
      <c r="G22" s="25">
        <v>35000</v>
      </c>
      <c r="H22" s="25">
        <v>9678.99</v>
      </c>
      <c r="I22" s="39">
        <f>(H22/G22)*100</f>
        <v>27.65425714285714</v>
      </c>
      <c r="J22" s="25">
        <v>21678.99</v>
      </c>
      <c r="K22" s="119">
        <f t="shared" si="0"/>
        <v>0.08140073961709621</v>
      </c>
      <c r="L22" s="25"/>
      <c r="M22" s="78"/>
      <c r="N22" s="39"/>
      <c r="O22" s="35">
        <f t="shared" si="1"/>
        <v>0</v>
      </c>
      <c r="P22" s="90"/>
    </row>
    <row r="23" spans="1:16" ht="14.25" customHeight="1">
      <c r="A23" s="145"/>
      <c r="B23" s="107"/>
      <c r="C23" s="99"/>
      <c r="D23" s="22" t="s">
        <v>355</v>
      </c>
      <c r="E23" s="25"/>
      <c r="F23" s="25"/>
      <c r="G23" s="25"/>
      <c r="H23" s="25"/>
      <c r="I23" s="39"/>
      <c r="J23" s="25">
        <v>12000</v>
      </c>
      <c r="K23" s="119">
        <f t="shared" si="0"/>
        <v>0.04505785903333847</v>
      </c>
      <c r="L23" s="25"/>
      <c r="M23" s="78"/>
      <c r="N23" s="39"/>
      <c r="O23" s="35">
        <f t="shared" si="1"/>
        <v>0</v>
      </c>
      <c r="P23" s="90"/>
    </row>
    <row r="24" spans="1:16" ht="15.75" customHeight="1">
      <c r="A24" s="145"/>
      <c r="B24" s="155" t="s">
        <v>7</v>
      </c>
      <c r="C24" s="3"/>
      <c r="D24" s="3" t="s">
        <v>8</v>
      </c>
      <c r="E24" s="5">
        <f>E25</f>
        <v>23707</v>
      </c>
      <c r="F24" s="5">
        <f>F25</f>
        <v>30000</v>
      </c>
      <c r="G24" s="5">
        <f>G25</f>
        <v>30000</v>
      </c>
      <c r="H24" s="5">
        <f>H25</f>
        <v>15796</v>
      </c>
      <c r="I24" s="39">
        <f>(H24/G24)*100</f>
        <v>52.65333333333333</v>
      </c>
      <c r="J24" s="5">
        <f>J25</f>
        <v>30000</v>
      </c>
      <c r="K24" s="120">
        <f t="shared" si="0"/>
        <v>0.11264464758334618</v>
      </c>
      <c r="L24" s="5">
        <f>L25</f>
        <v>32000</v>
      </c>
      <c r="M24" s="45">
        <f>M25</f>
        <v>0</v>
      </c>
      <c r="N24" s="38">
        <f>(L24/J24)*100</f>
        <v>106.66666666666667</v>
      </c>
      <c r="O24" s="67">
        <f t="shared" si="1"/>
        <v>0.129020113057914</v>
      </c>
      <c r="P24" s="90"/>
    </row>
    <row r="25" spans="1:16" ht="25.5" customHeight="1">
      <c r="A25" s="145"/>
      <c r="B25" s="156"/>
      <c r="C25" s="4" t="s">
        <v>82</v>
      </c>
      <c r="D25" s="4" t="s">
        <v>83</v>
      </c>
      <c r="E25" s="6">
        <v>23707</v>
      </c>
      <c r="F25" s="6">
        <v>30000</v>
      </c>
      <c r="G25" s="6">
        <v>30000</v>
      </c>
      <c r="H25" s="6">
        <v>15796</v>
      </c>
      <c r="I25" s="36">
        <f>(H25/G25)*100</f>
        <v>52.65333333333333</v>
      </c>
      <c r="J25" s="6">
        <v>30000</v>
      </c>
      <c r="K25" s="119">
        <f t="shared" si="0"/>
        <v>0.11264464758334618</v>
      </c>
      <c r="L25" s="29">
        <v>32000</v>
      </c>
      <c r="M25" s="77"/>
      <c r="N25" s="36">
        <f>(L25/J25)*100</f>
        <v>106.66666666666667</v>
      </c>
      <c r="O25" s="35">
        <f t="shared" si="1"/>
        <v>0.129020113057914</v>
      </c>
      <c r="P25" s="90"/>
    </row>
    <row r="26" spans="1:16" ht="12.75">
      <c r="A26" s="145"/>
      <c r="B26" s="147" t="s">
        <v>9</v>
      </c>
      <c r="C26" s="3"/>
      <c r="D26" s="3" t="s">
        <v>10</v>
      </c>
      <c r="E26" s="5" t="e">
        <f>E28+E29+#REF!+E30+E31+E33+E27+E32+#REF!+#REF!</f>
        <v>#REF!</v>
      </c>
      <c r="F26" s="5" t="e">
        <f>F28+F29+#REF!+F30+F31+F33+F27+F32+#REF!+#REF!</f>
        <v>#REF!</v>
      </c>
      <c r="G26" s="5" t="e">
        <f>G28+G29+#REF!+G30+G31+G33+G27+G32+#REF!+#REF!</f>
        <v>#REF!</v>
      </c>
      <c r="H26" s="5" t="e">
        <f>H28+H29+#REF!+H30+H31+H33+H27+H32+#REF!+#REF!</f>
        <v>#REF!</v>
      </c>
      <c r="I26" s="5" t="e">
        <f>I28+I29+#REF!+I30+I31+I33+I27+I32+#REF!+#REF!</f>
        <v>#REF!</v>
      </c>
      <c r="J26" s="5">
        <f>J28+J29+J30+J31+J33+J27+J32</f>
        <v>275478.61000000004</v>
      </c>
      <c r="K26" s="120">
        <f t="shared" si="0"/>
        <v>1.0343730313400024</v>
      </c>
      <c r="L26" s="5">
        <f>L28+L29+L30+L31+L33+L27+L32</f>
        <v>0</v>
      </c>
      <c r="M26" s="45" t="e">
        <f>M28+M29+#REF!+M30+M31+M33+M27+M32+#REF!+#REF!</f>
        <v>#REF!</v>
      </c>
      <c r="N26" s="36">
        <f>(L26/J26)*100</f>
        <v>0</v>
      </c>
      <c r="O26" s="35">
        <f t="shared" si="1"/>
        <v>0</v>
      </c>
      <c r="P26" s="90"/>
    </row>
    <row r="27" spans="1:16" s="108" customFormat="1" ht="12.75">
      <c r="A27" s="145"/>
      <c r="B27" s="150"/>
      <c r="C27" s="4">
        <v>4010</v>
      </c>
      <c r="D27" s="4" t="s">
        <v>95</v>
      </c>
      <c r="E27" s="6">
        <v>4211.03</v>
      </c>
      <c r="F27" s="6"/>
      <c r="G27" s="6">
        <v>3448.39</v>
      </c>
      <c r="H27" s="6">
        <v>3448.39</v>
      </c>
      <c r="I27" s="54"/>
      <c r="J27" s="6">
        <v>3448.39</v>
      </c>
      <c r="K27" s="119">
        <f t="shared" si="0"/>
        <v>0.01294808920933117</v>
      </c>
      <c r="L27" s="6"/>
      <c r="M27" s="43"/>
      <c r="N27" s="36"/>
      <c r="O27" s="35"/>
      <c r="P27" s="90"/>
    </row>
    <row r="28" spans="1:16" ht="12" customHeight="1">
      <c r="A28" s="145"/>
      <c r="B28" s="130"/>
      <c r="C28" s="4">
        <v>4110</v>
      </c>
      <c r="D28" s="4" t="s">
        <v>84</v>
      </c>
      <c r="E28" s="6">
        <v>940.7</v>
      </c>
      <c r="F28" s="6"/>
      <c r="G28" s="6">
        <v>602.44</v>
      </c>
      <c r="H28" s="6">
        <v>602.44</v>
      </c>
      <c r="I28" s="36">
        <f aca="true" t="shared" si="5" ref="I28:I33">(H28/G28)*100</f>
        <v>100</v>
      </c>
      <c r="J28" s="6">
        <v>602.44</v>
      </c>
      <c r="K28" s="119">
        <f t="shared" si="0"/>
        <v>0.002262054716337036</v>
      </c>
      <c r="L28" s="29"/>
      <c r="M28" s="77"/>
      <c r="N28" s="36"/>
      <c r="O28" s="35"/>
      <c r="P28" s="90"/>
    </row>
    <row r="29" spans="1:16" ht="12.75">
      <c r="A29" s="145"/>
      <c r="B29" s="130"/>
      <c r="C29" s="4">
        <v>4120</v>
      </c>
      <c r="D29" s="4" t="s">
        <v>85</v>
      </c>
      <c r="E29" s="6">
        <v>46.68</v>
      </c>
      <c r="F29" s="6"/>
      <c r="G29" s="6">
        <v>41.81</v>
      </c>
      <c r="H29" s="6">
        <v>41.81</v>
      </c>
      <c r="I29" s="36">
        <f t="shared" si="5"/>
        <v>100</v>
      </c>
      <c r="J29" s="6">
        <v>41.81</v>
      </c>
      <c r="K29" s="119">
        <f t="shared" si="0"/>
        <v>0.00015698909051532346</v>
      </c>
      <c r="L29" s="29"/>
      <c r="M29" s="77"/>
      <c r="N29" s="36"/>
      <c r="O29" s="35"/>
      <c r="P29" s="90"/>
    </row>
    <row r="30" spans="1:16" ht="14.25" customHeight="1">
      <c r="A30" s="145"/>
      <c r="B30" s="130"/>
      <c r="C30" s="4">
        <v>4210</v>
      </c>
      <c r="D30" s="4" t="s">
        <v>74</v>
      </c>
      <c r="E30" s="6">
        <v>2361.1</v>
      </c>
      <c r="F30" s="6"/>
      <c r="G30" s="6">
        <v>1088.9</v>
      </c>
      <c r="H30" s="6">
        <v>1088.9</v>
      </c>
      <c r="I30" s="36">
        <f t="shared" si="5"/>
        <v>100</v>
      </c>
      <c r="J30" s="6">
        <v>1088.9</v>
      </c>
      <c r="K30" s="119">
        <f t="shared" si="0"/>
        <v>0.004088625225116856</v>
      </c>
      <c r="L30" s="29"/>
      <c r="M30" s="77"/>
      <c r="N30" s="36"/>
      <c r="O30" s="35"/>
      <c r="P30" s="90"/>
    </row>
    <row r="31" spans="1:16" ht="12.75">
      <c r="A31" s="145"/>
      <c r="B31" s="130"/>
      <c r="C31" s="4">
        <v>4260</v>
      </c>
      <c r="D31" s="4" t="s">
        <v>75</v>
      </c>
      <c r="E31" s="6">
        <v>60</v>
      </c>
      <c r="F31" s="6"/>
      <c r="G31" s="6">
        <v>30</v>
      </c>
      <c r="H31" s="6">
        <v>30</v>
      </c>
      <c r="I31" s="36">
        <f t="shared" si="5"/>
        <v>100</v>
      </c>
      <c r="J31" s="6">
        <v>30</v>
      </c>
      <c r="K31" s="119">
        <f t="shared" si="0"/>
        <v>0.00011264464758334619</v>
      </c>
      <c r="L31" s="29"/>
      <c r="M31" s="77"/>
      <c r="N31" s="36"/>
      <c r="O31" s="35"/>
      <c r="P31" s="90"/>
    </row>
    <row r="32" spans="1:16" ht="12.75">
      <c r="A32" s="145"/>
      <c r="B32" s="130"/>
      <c r="C32" s="4">
        <v>4300</v>
      </c>
      <c r="D32" s="4" t="s">
        <v>87</v>
      </c>
      <c r="E32" s="6">
        <v>295.65</v>
      </c>
      <c r="F32" s="6"/>
      <c r="G32" s="6">
        <v>190</v>
      </c>
      <c r="H32" s="6">
        <v>190</v>
      </c>
      <c r="I32" s="36">
        <f t="shared" si="5"/>
        <v>100</v>
      </c>
      <c r="J32" s="6">
        <v>190</v>
      </c>
      <c r="K32" s="119">
        <f t="shared" si="0"/>
        <v>0.0007134161013611925</v>
      </c>
      <c r="L32" s="29"/>
      <c r="M32" s="77"/>
      <c r="N32" s="36"/>
      <c r="O32" s="35"/>
      <c r="P32" s="90"/>
    </row>
    <row r="33" spans="1:16" ht="12.75">
      <c r="A33" s="145"/>
      <c r="B33" s="130"/>
      <c r="C33" s="4">
        <v>4430</v>
      </c>
      <c r="D33" s="4" t="s">
        <v>88</v>
      </c>
      <c r="E33" s="6">
        <v>491024.54</v>
      </c>
      <c r="F33" s="6"/>
      <c r="G33" s="6">
        <v>270077.07</v>
      </c>
      <c r="H33" s="6">
        <v>270077.07</v>
      </c>
      <c r="I33" s="36">
        <f t="shared" si="5"/>
        <v>100</v>
      </c>
      <c r="J33" s="6">
        <v>270077.07</v>
      </c>
      <c r="K33" s="119">
        <f t="shared" si="0"/>
        <v>1.0140912123497572</v>
      </c>
      <c r="L33" s="29"/>
      <c r="M33" s="77"/>
      <c r="N33" s="36"/>
      <c r="O33" s="35"/>
      <c r="P33" s="90"/>
    </row>
    <row r="34" spans="1:16" ht="16.5" customHeight="1">
      <c r="A34" s="143" t="s">
        <v>41</v>
      </c>
      <c r="B34" s="33"/>
      <c r="C34" s="4"/>
      <c r="D34" s="3" t="s">
        <v>11</v>
      </c>
      <c r="E34" s="5" t="e">
        <f>E41+E49+#REF!</f>
        <v>#REF!</v>
      </c>
      <c r="F34" s="5" t="e">
        <f>F41+F49+#REF!</f>
        <v>#REF!</v>
      </c>
      <c r="G34" s="5" t="e">
        <f>G41+G49+#REF!</f>
        <v>#REF!</v>
      </c>
      <c r="H34" s="5" t="e">
        <f>H41+H49+#REF!</f>
        <v>#REF!</v>
      </c>
      <c r="I34" s="39" t="e">
        <f>(H34/G34)*100</f>
        <v>#REF!</v>
      </c>
      <c r="J34" s="5">
        <f>J41+J49</f>
        <v>544192</v>
      </c>
      <c r="K34" s="120">
        <f t="shared" si="0"/>
        <v>2.043343868589211</v>
      </c>
      <c r="L34" s="5">
        <f>L41+L49</f>
        <v>422954</v>
      </c>
      <c r="M34" s="45" t="e">
        <f>M41+M49+#REF!</f>
        <v>#REF!</v>
      </c>
      <c r="N34" s="38">
        <f>(L34/J34)*100</f>
        <v>77.72146595319299</v>
      </c>
      <c r="O34" s="67">
        <f t="shared" si="1"/>
        <v>1.7052991530717803</v>
      </c>
      <c r="P34" s="90"/>
    </row>
    <row r="35" spans="1:16" ht="12.75">
      <c r="A35" s="144"/>
      <c r="B35" s="33"/>
      <c r="C35" s="4"/>
      <c r="D35" s="8" t="s">
        <v>230</v>
      </c>
      <c r="E35" s="6" t="e">
        <f aca="true" t="shared" si="6" ref="E35:M35">E42+E52</f>
        <v>#REF!</v>
      </c>
      <c r="F35" s="6" t="e">
        <f t="shared" si="6"/>
        <v>#REF!</v>
      </c>
      <c r="G35" s="6" t="e">
        <f t="shared" si="6"/>
        <v>#REF!</v>
      </c>
      <c r="H35" s="6" t="e">
        <f t="shared" si="6"/>
        <v>#REF!</v>
      </c>
      <c r="I35" s="6" t="e">
        <f t="shared" si="6"/>
        <v>#DIV/0!</v>
      </c>
      <c r="J35" s="6">
        <f t="shared" si="6"/>
        <v>364192</v>
      </c>
      <c r="K35" s="119">
        <f t="shared" si="0"/>
        <v>1.3674759830891337</v>
      </c>
      <c r="L35" s="6">
        <f t="shared" si="6"/>
        <v>399954</v>
      </c>
      <c r="M35" s="43" t="e">
        <f t="shared" si="6"/>
        <v>#REF!</v>
      </c>
      <c r="N35" s="36">
        <f>(L35/J35)*100</f>
        <v>109.81954573411828</v>
      </c>
      <c r="O35" s="35">
        <f t="shared" si="1"/>
        <v>1.6125659468114044</v>
      </c>
      <c r="P35" s="90"/>
    </row>
    <row r="36" spans="1:16" ht="12.75">
      <c r="A36" s="144"/>
      <c r="B36" s="33"/>
      <c r="C36" s="4"/>
      <c r="D36" s="8" t="s">
        <v>231</v>
      </c>
      <c r="E36" s="6" t="e">
        <f>#REF!+E43+E50</f>
        <v>#REF!</v>
      </c>
      <c r="F36" s="6" t="e">
        <f>#REF!+F43+F50</f>
        <v>#REF!</v>
      </c>
      <c r="G36" s="6" t="e">
        <f>#REF!+G43+G50</f>
        <v>#REF!</v>
      </c>
      <c r="H36" s="6" t="e">
        <f>#REF!+H43+H50</f>
        <v>#REF!</v>
      </c>
      <c r="I36" s="6" t="e">
        <f>#REF!+I43+I50</f>
        <v>#REF!</v>
      </c>
      <c r="J36" s="6">
        <f>J43+J50</f>
        <v>80000</v>
      </c>
      <c r="K36" s="119">
        <f t="shared" si="0"/>
        <v>0.3003857268889232</v>
      </c>
      <c r="L36" s="6">
        <f>L43+L50</f>
        <v>23000</v>
      </c>
      <c r="M36" s="43" t="e">
        <f>#REF!+M43+M50</f>
        <v>#REF!</v>
      </c>
      <c r="N36" s="36">
        <f>(L36/J36)*100</f>
        <v>28.749999999999996</v>
      </c>
      <c r="O36" s="35">
        <f t="shared" si="1"/>
        <v>0.0927332062603757</v>
      </c>
      <c r="P36" s="90"/>
    </row>
    <row r="37" spans="1:16" ht="12.75" customHeight="1">
      <c r="A37" s="144"/>
      <c r="B37" s="33"/>
      <c r="C37" s="4"/>
      <c r="D37" s="8" t="s">
        <v>237</v>
      </c>
      <c r="E37" s="6">
        <f aca="true" t="shared" si="7" ref="E37:M37">E48</f>
        <v>0</v>
      </c>
      <c r="F37" s="6">
        <f t="shared" si="7"/>
        <v>100000</v>
      </c>
      <c r="G37" s="6">
        <f t="shared" si="7"/>
        <v>100000</v>
      </c>
      <c r="H37" s="6">
        <f t="shared" si="7"/>
        <v>0</v>
      </c>
      <c r="I37" s="6">
        <f t="shared" si="7"/>
        <v>0</v>
      </c>
      <c r="J37" s="6">
        <f t="shared" si="7"/>
        <v>100000</v>
      </c>
      <c r="K37" s="119">
        <f t="shared" si="0"/>
        <v>0.3754821586111539</v>
      </c>
      <c r="L37" s="6">
        <f t="shared" si="7"/>
        <v>0</v>
      </c>
      <c r="M37" s="43">
        <f t="shared" si="7"/>
        <v>0</v>
      </c>
      <c r="N37" s="36">
        <f>(L37/J37)*100</f>
        <v>0</v>
      </c>
      <c r="O37" s="35">
        <f t="shared" si="1"/>
        <v>0</v>
      </c>
      <c r="P37" s="90"/>
    </row>
    <row r="38" spans="1:16" ht="12.75" customHeight="1">
      <c r="A38" s="144"/>
      <c r="B38" s="44"/>
      <c r="C38" s="4"/>
      <c r="D38" s="23" t="s">
        <v>295</v>
      </c>
      <c r="E38" s="27" t="e">
        <f>SUM(E35:E37)</f>
        <v>#REF!</v>
      </c>
      <c r="F38" s="27" t="e">
        <f>SUM(F35:F37)</f>
        <v>#REF!</v>
      </c>
      <c r="G38" s="27" t="e">
        <f>SUM(G35:G37)</f>
        <v>#REF!</v>
      </c>
      <c r="H38" s="27" t="e">
        <f>SUM(H35:H37)</f>
        <v>#REF!</v>
      </c>
      <c r="I38" s="39" t="e">
        <f aca="true" t="shared" si="8" ref="I38:I48">(H38/G38)*100</f>
        <v>#REF!</v>
      </c>
      <c r="J38" s="27">
        <f>SUM(J35:J37)</f>
        <v>544192</v>
      </c>
      <c r="K38" s="119">
        <f t="shared" si="0"/>
        <v>2.043343868589211</v>
      </c>
      <c r="L38" s="27">
        <f>SUM(L35:L37)</f>
        <v>422954</v>
      </c>
      <c r="M38" s="31" t="e">
        <f>SUM(M35:M37)</f>
        <v>#REF!</v>
      </c>
      <c r="N38" s="36">
        <f>(L38/J38)*100</f>
        <v>77.72146595319299</v>
      </c>
      <c r="O38" s="35">
        <f t="shared" si="1"/>
        <v>1.7052991530717803</v>
      </c>
      <c r="P38" s="90"/>
    </row>
    <row r="39" spans="1:16" ht="12.75" customHeight="1">
      <c r="A39" s="144"/>
      <c r="B39" s="44"/>
      <c r="C39" s="4"/>
      <c r="D39" s="8" t="s">
        <v>265</v>
      </c>
      <c r="E39" s="6"/>
      <c r="F39" s="6"/>
      <c r="G39" s="6"/>
      <c r="H39" s="6"/>
      <c r="I39" s="39" t="e">
        <f t="shared" si="8"/>
        <v>#DIV/0!</v>
      </c>
      <c r="J39" s="6"/>
      <c r="K39" s="119">
        <f t="shared" si="0"/>
        <v>0</v>
      </c>
      <c r="L39" s="6"/>
      <c r="M39" s="43"/>
      <c r="N39" s="6"/>
      <c r="O39" s="35">
        <f t="shared" si="1"/>
        <v>0</v>
      </c>
      <c r="P39" s="90"/>
    </row>
    <row r="40" spans="1:16" ht="12.75" customHeight="1">
      <c r="A40" s="144"/>
      <c r="B40" s="44"/>
      <c r="C40" s="4"/>
      <c r="D40" s="8" t="s">
        <v>262</v>
      </c>
      <c r="E40" s="6"/>
      <c r="F40" s="6"/>
      <c r="G40" s="6"/>
      <c r="H40" s="6"/>
      <c r="I40" s="39" t="e">
        <f t="shared" si="8"/>
        <v>#DIV/0!</v>
      </c>
      <c r="J40" s="6"/>
      <c r="K40" s="119">
        <f t="shared" si="0"/>
        <v>0</v>
      </c>
      <c r="L40" s="6"/>
      <c r="M40" s="43"/>
      <c r="N40" s="6"/>
      <c r="O40" s="35">
        <f t="shared" si="1"/>
        <v>0</v>
      </c>
      <c r="P40" s="90"/>
    </row>
    <row r="41" spans="1:16" ht="29.25" customHeight="1">
      <c r="A41" s="145"/>
      <c r="B41" s="147">
        <v>60014</v>
      </c>
      <c r="C41" s="3"/>
      <c r="D41" s="3" t="s">
        <v>224</v>
      </c>
      <c r="E41" s="5">
        <f>E45+E46+E47+E48</f>
        <v>153133.05000000002</v>
      </c>
      <c r="F41" s="5">
        <f>F45+F46+F47+F48</f>
        <v>288500</v>
      </c>
      <c r="G41" s="5">
        <f>G45+G46+G47+G48</f>
        <v>155863</v>
      </c>
      <c r="H41" s="5">
        <f>H45+H46+H47+H48</f>
        <v>27123.28</v>
      </c>
      <c r="I41" s="39">
        <f t="shared" si="8"/>
        <v>17.402000474775924</v>
      </c>
      <c r="J41" s="5">
        <f>J45+J46+J47+J48</f>
        <v>155863</v>
      </c>
      <c r="K41" s="120">
        <f t="shared" si="0"/>
        <v>0.5852377568761028</v>
      </c>
      <c r="L41" s="5">
        <f>L45+L46+L47+L48</f>
        <v>57000</v>
      </c>
      <c r="M41" s="45">
        <f>M45+M46+M47+M48</f>
        <v>0</v>
      </c>
      <c r="N41" s="38">
        <f>(L41/J41)*100</f>
        <v>36.57057800760924</v>
      </c>
      <c r="O41" s="67">
        <f t="shared" si="1"/>
        <v>0.22981707638440935</v>
      </c>
      <c r="P41" s="90"/>
    </row>
    <row r="42" spans="1:16" ht="12.75">
      <c r="A42" s="145"/>
      <c r="B42" s="151"/>
      <c r="C42" s="3"/>
      <c r="D42" s="3" t="s">
        <v>275</v>
      </c>
      <c r="E42" s="5">
        <f>E45+E46+E47</f>
        <v>153133.05000000002</v>
      </c>
      <c r="F42" s="5">
        <f>F45+F46+F47</f>
        <v>188500</v>
      </c>
      <c r="G42" s="5">
        <f>G45+G46+G47</f>
        <v>55863</v>
      </c>
      <c r="H42" s="5">
        <f>H45+H46+H47</f>
        <v>27123.28</v>
      </c>
      <c r="I42" s="39">
        <f t="shared" si="8"/>
        <v>48.55321053291087</v>
      </c>
      <c r="J42" s="5">
        <f>J45+J46+J47</f>
        <v>55863</v>
      </c>
      <c r="K42" s="119">
        <f t="shared" si="0"/>
        <v>0.2097555982649489</v>
      </c>
      <c r="L42" s="5">
        <f>L45+L46+L47</f>
        <v>57000</v>
      </c>
      <c r="M42" s="45">
        <f>M45+M46+M47</f>
        <v>0</v>
      </c>
      <c r="N42" s="38"/>
      <c r="O42" s="35">
        <f t="shared" si="1"/>
        <v>0.22981707638440935</v>
      </c>
      <c r="P42" s="90"/>
    </row>
    <row r="43" spans="1:16" ht="12.75">
      <c r="A43" s="145"/>
      <c r="B43" s="151"/>
      <c r="C43" s="3"/>
      <c r="D43" s="3" t="s">
        <v>231</v>
      </c>
      <c r="E43" s="5"/>
      <c r="F43" s="5"/>
      <c r="G43" s="5"/>
      <c r="H43" s="5"/>
      <c r="I43" s="39" t="e">
        <f t="shared" si="8"/>
        <v>#DIV/0!</v>
      </c>
      <c r="J43" s="5"/>
      <c r="K43" s="119">
        <f t="shared" si="0"/>
        <v>0</v>
      </c>
      <c r="L43" s="5"/>
      <c r="M43" s="45"/>
      <c r="N43" s="38"/>
      <c r="O43" s="35">
        <f t="shared" si="1"/>
        <v>0</v>
      </c>
      <c r="P43" s="90"/>
    </row>
    <row r="44" spans="1:16" ht="12.75">
      <c r="A44" s="145"/>
      <c r="B44" s="151"/>
      <c r="C44" s="3"/>
      <c r="D44" s="3" t="s">
        <v>296</v>
      </c>
      <c r="E44" s="5">
        <f>E48</f>
        <v>0</v>
      </c>
      <c r="F44" s="5">
        <f>F48</f>
        <v>100000</v>
      </c>
      <c r="G44" s="5">
        <f>G48</f>
        <v>100000</v>
      </c>
      <c r="H44" s="5">
        <f>H48</f>
        <v>0</v>
      </c>
      <c r="I44" s="39">
        <f t="shared" si="8"/>
        <v>0</v>
      </c>
      <c r="J44" s="5">
        <f>J48</f>
        <v>100000</v>
      </c>
      <c r="K44" s="119">
        <f t="shared" si="0"/>
        <v>0.3754821586111539</v>
      </c>
      <c r="L44" s="5">
        <f>L48</f>
        <v>0</v>
      </c>
      <c r="M44" s="45">
        <f>M48</f>
        <v>0</v>
      </c>
      <c r="N44" s="38"/>
      <c r="O44" s="35">
        <f t="shared" si="1"/>
        <v>0</v>
      </c>
      <c r="P44" s="90"/>
    </row>
    <row r="45" spans="1:16" ht="12.75">
      <c r="A45" s="145"/>
      <c r="B45" s="151"/>
      <c r="C45" s="4">
        <v>4210</v>
      </c>
      <c r="D45" s="4" t="s">
        <v>90</v>
      </c>
      <c r="E45" s="6">
        <v>2814.36</v>
      </c>
      <c r="F45" s="6">
        <v>10000</v>
      </c>
      <c r="G45" s="6">
        <v>10000</v>
      </c>
      <c r="H45" s="6"/>
      <c r="I45" s="36">
        <f t="shared" si="8"/>
        <v>0</v>
      </c>
      <c r="J45" s="6">
        <v>10000</v>
      </c>
      <c r="K45" s="119">
        <f t="shared" si="0"/>
        <v>0.0375482158611154</v>
      </c>
      <c r="L45" s="6">
        <v>11000</v>
      </c>
      <c r="M45" s="43"/>
      <c r="N45" s="36">
        <f>(L45/J45)*100</f>
        <v>110.00000000000001</v>
      </c>
      <c r="O45" s="35">
        <f t="shared" si="1"/>
        <v>0.04435066386365794</v>
      </c>
      <c r="P45" s="90"/>
    </row>
    <row r="46" spans="1:16" ht="14.25" customHeight="1">
      <c r="A46" s="145"/>
      <c r="B46" s="151"/>
      <c r="C46" s="4">
        <v>4270</v>
      </c>
      <c r="D46" s="4" t="s">
        <v>77</v>
      </c>
      <c r="E46" s="6">
        <v>2287.8</v>
      </c>
      <c r="F46" s="6">
        <v>25000</v>
      </c>
      <c r="G46" s="6">
        <v>25000</v>
      </c>
      <c r="H46" s="6">
        <v>14140.5</v>
      </c>
      <c r="I46" s="36">
        <f t="shared" si="8"/>
        <v>56.562</v>
      </c>
      <c r="J46" s="6">
        <v>25000</v>
      </c>
      <c r="K46" s="119">
        <f t="shared" si="0"/>
        <v>0.09387053965278848</v>
      </c>
      <c r="L46" s="6">
        <v>27000</v>
      </c>
      <c r="M46" s="43"/>
      <c r="N46" s="36">
        <f>(L46/J46)*100</f>
        <v>108</v>
      </c>
      <c r="O46" s="35">
        <f t="shared" si="1"/>
        <v>0.10886072039261495</v>
      </c>
      <c r="P46" s="90"/>
    </row>
    <row r="47" spans="1:16" ht="12.75">
      <c r="A47" s="145"/>
      <c r="B47" s="151"/>
      <c r="C47" s="4" t="s">
        <v>78</v>
      </c>
      <c r="D47" s="4" t="s">
        <v>87</v>
      </c>
      <c r="E47" s="6">
        <v>148030.89</v>
      </c>
      <c r="F47" s="6">
        <v>153500</v>
      </c>
      <c r="G47" s="6">
        <v>20863</v>
      </c>
      <c r="H47" s="6">
        <v>12982.78</v>
      </c>
      <c r="I47" s="36">
        <f t="shared" si="8"/>
        <v>62.22873028806979</v>
      </c>
      <c r="J47" s="6">
        <v>20863</v>
      </c>
      <c r="K47" s="119">
        <f t="shared" si="0"/>
        <v>0.07833684275104505</v>
      </c>
      <c r="L47" s="6">
        <v>19000</v>
      </c>
      <c r="M47" s="43"/>
      <c r="N47" s="36">
        <f>(L47/J47)*100</f>
        <v>91.07031587020083</v>
      </c>
      <c r="O47" s="35">
        <f t="shared" si="1"/>
        <v>0.07660569212813645</v>
      </c>
      <c r="P47" s="90"/>
    </row>
    <row r="48" spans="1:16" ht="18.75" customHeight="1">
      <c r="A48" s="145"/>
      <c r="B48" s="149"/>
      <c r="C48" s="24">
        <v>6620</v>
      </c>
      <c r="D48" s="46" t="s">
        <v>315</v>
      </c>
      <c r="E48" s="25"/>
      <c r="F48" s="25">
        <v>100000</v>
      </c>
      <c r="G48" s="25">
        <v>100000</v>
      </c>
      <c r="H48" s="25"/>
      <c r="I48" s="39">
        <f t="shared" si="8"/>
        <v>0</v>
      </c>
      <c r="J48" s="25">
        <v>100000</v>
      </c>
      <c r="K48" s="119">
        <f t="shared" si="0"/>
        <v>0.3754821586111539</v>
      </c>
      <c r="L48" s="25"/>
      <c r="M48" s="78"/>
      <c r="N48" s="36"/>
      <c r="O48" s="35">
        <f t="shared" si="1"/>
        <v>0</v>
      </c>
      <c r="P48" s="90"/>
    </row>
    <row r="49" spans="1:16" ht="12.75">
      <c r="A49" s="145"/>
      <c r="B49" s="147" t="s">
        <v>42</v>
      </c>
      <c r="C49" s="3"/>
      <c r="D49" s="3" t="s">
        <v>12</v>
      </c>
      <c r="E49" s="5" t="e">
        <f>E56+E57+E58+E59+E60+E61+E62+E66+E71+E74+E70+E80+E75+E78+#REF!</f>
        <v>#REF!</v>
      </c>
      <c r="F49" s="5" t="e">
        <f>F56+F57+F58+F59+F60+F61+F62+F66+F71+F74+F70+F80+F75+F78+#REF!</f>
        <v>#REF!</v>
      </c>
      <c r="G49" s="5" t="e">
        <f>G56+G57+G58+G59+G60+G61+G62+G66+G71+G74+G70+G80+G75+G78+#REF!</f>
        <v>#REF!</v>
      </c>
      <c r="H49" s="5" t="e">
        <f>H56+H57+H58+H59+H60+H61+H62+H66+H71+H74+H70+H80+H75+H78+#REF!</f>
        <v>#REF!</v>
      </c>
      <c r="I49" s="5" t="e">
        <f>I56+I57+I58+I59+I60+I61+I62+I66+I71+I74+I70+I80+I75+I78+#REF!</f>
        <v>#DIV/0!</v>
      </c>
      <c r="J49" s="5">
        <f>J56+J57+J58+J59+J60+J61+J62+J66+J71+J74+J70+J80+J75+J78</f>
        <v>388329</v>
      </c>
      <c r="K49" s="120">
        <f t="shared" si="0"/>
        <v>1.4581061117131078</v>
      </c>
      <c r="L49" s="5">
        <f>L56+L57+L58+L59+L60+L61+L62+L66+L71+L74+L70+L80+L75+L78</f>
        <v>365954</v>
      </c>
      <c r="M49" s="45" t="e">
        <f>M56+M57+M58+M59+M60+M61+M62+M66+M71+M74+M70+M80+M75+M78+#REF!</f>
        <v>#REF!</v>
      </c>
      <c r="N49" s="38">
        <f>(L49/J49)*100</f>
        <v>94.23813312938256</v>
      </c>
      <c r="O49" s="67">
        <f t="shared" si="1"/>
        <v>1.4754820766873709</v>
      </c>
      <c r="P49" s="90"/>
    </row>
    <row r="50" spans="1:16" ht="12.75">
      <c r="A50" s="145"/>
      <c r="B50" s="150"/>
      <c r="C50" s="3"/>
      <c r="D50" s="47" t="s">
        <v>289</v>
      </c>
      <c r="E50" s="5">
        <f aca="true" t="shared" si="9" ref="E50:M50">E80+E75+E78</f>
        <v>1956525.5999999999</v>
      </c>
      <c r="F50" s="5">
        <f t="shared" si="9"/>
        <v>295508.5</v>
      </c>
      <c r="G50" s="5">
        <f t="shared" si="9"/>
        <v>120508.5</v>
      </c>
      <c r="H50" s="5">
        <f t="shared" si="9"/>
        <v>9063.01</v>
      </c>
      <c r="I50" s="5" t="e">
        <f t="shared" si="9"/>
        <v>#REF!</v>
      </c>
      <c r="J50" s="5">
        <f t="shared" si="9"/>
        <v>80000</v>
      </c>
      <c r="K50" s="119">
        <f t="shared" si="0"/>
        <v>0.3003857268889232</v>
      </c>
      <c r="L50" s="5">
        <f t="shared" si="9"/>
        <v>23000</v>
      </c>
      <c r="M50" s="45" t="e">
        <f t="shared" si="9"/>
        <v>#REF!</v>
      </c>
      <c r="N50" s="36"/>
      <c r="O50" s="35">
        <f t="shared" si="1"/>
        <v>0.0927332062603757</v>
      </c>
      <c r="P50" s="90"/>
    </row>
    <row r="51" spans="1:16" ht="12.75">
      <c r="A51" s="145"/>
      <c r="B51" s="150"/>
      <c r="C51" s="3"/>
      <c r="D51" s="47" t="s">
        <v>345</v>
      </c>
      <c r="E51" s="5"/>
      <c r="F51" s="5"/>
      <c r="G51" s="5"/>
      <c r="H51" s="5"/>
      <c r="I51" s="5"/>
      <c r="J51" s="5"/>
      <c r="K51" s="119">
        <f t="shared" si="0"/>
        <v>0</v>
      </c>
      <c r="L51" s="5">
        <f>L78+L80</f>
        <v>3000</v>
      </c>
      <c r="M51" s="45"/>
      <c r="N51" s="36"/>
      <c r="O51" s="35">
        <f t="shared" si="1"/>
        <v>0.012095635599179439</v>
      </c>
      <c r="P51" s="90"/>
    </row>
    <row r="52" spans="1:16" ht="12.75">
      <c r="A52" s="145"/>
      <c r="B52" s="150"/>
      <c r="C52" s="3"/>
      <c r="D52" s="3" t="s">
        <v>290</v>
      </c>
      <c r="E52" s="5" t="e">
        <f>E56+E57+E58+E59+E60+E61+E62+E66+E70+E71+E74+#REF!</f>
        <v>#REF!</v>
      </c>
      <c r="F52" s="5" t="e">
        <f>F56+F57+F58+F59+F60+F61+F62+F66+F70+F71+F74+#REF!</f>
        <v>#REF!</v>
      </c>
      <c r="G52" s="5" t="e">
        <f>G56+G57+G58+G59+G60+G61+G62+G66+G70+G71+G74+#REF!</f>
        <v>#REF!</v>
      </c>
      <c r="H52" s="5" t="e">
        <f>H56+H57+H58+H59+H60+H61+H62+H66+H70+H71+H74+#REF!</f>
        <v>#REF!</v>
      </c>
      <c r="I52" s="5" t="e">
        <f>I56+I57+I58+I59+I60+I61+I62+I66+I70+I71+I74+#REF!</f>
        <v>#DIV/0!</v>
      </c>
      <c r="J52" s="5">
        <f>J56+J57+J58+J59+J60+J61+J62+J66+J70+J71+J74</f>
        <v>308329</v>
      </c>
      <c r="K52" s="119">
        <f t="shared" si="0"/>
        <v>1.1577203848241848</v>
      </c>
      <c r="L52" s="5">
        <f>L56+L57+L58+L59+L60+L61+L62+L66+L70+L71+L74</f>
        <v>342954</v>
      </c>
      <c r="M52" s="45" t="e">
        <f>M56+M57+M58+M59+M60+M61+M62+M66+M70+M71+M74+#REF!</f>
        <v>#REF!</v>
      </c>
      <c r="N52" s="36"/>
      <c r="O52" s="35">
        <f t="shared" si="1"/>
        <v>1.3827488704269952</v>
      </c>
      <c r="P52" s="90"/>
    </row>
    <row r="53" spans="1:16" ht="12.75">
      <c r="A53" s="145"/>
      <c r="B53" s="150"/>
      <c r="C53" s="3"/>
      <c r="D53" s="3" t="s">
        <v>310</v>
      </c>
      <c r="E53" s="5" t="e">
        <f aca="true" t="shared" si="10" ref="E53:M53">SUM(E50:E52)</f>
        <v>#REF!</v>
      </c>
      <c r="F53" s="5" t="e">
        <f t="shared" si="10"/>
        <v>#REF!</v>
      </c>
      <c r="G53" s="5" t="e">
        <f t="shared" si="10"/>
        <v>#REF!</v>
      </c>
      <c r="H53" s="5" t="e">
        <f t="shared" si="10"/>
        <v>#REF!</v>
      </c>
      <c r="I53" s="5" t="e">
        <f t="shared" si="10"/>
        <v>#REF!</v>
      </c>
      <c r="J53" s="5">
        <f t="shared" si="10"/>
        <v>388329</v>
      </c>
      <c r="K53" s="119">
        <f t="shared" si="0"/>
        <v>1.4581061117131078</v>
      </c>
      <c r="L53" s="5">
        <f t="shared" si="10"/>
        <v>368954</v>
      </c>
      <c r="M53" s="45" t="e">
        <f t="shared" si="10"/>
        <v>#REF!</v>
      </c>
      <c r="N53" s="36"/>
      <c r="O53" s="35">
        <f t="shared" si="1"/>
        <v>1.4875777122865501</v>
      </c>
      <c r="P53" s="90"/>
    </row>
    <row r="54" spans="1:16" ht="12.75">
      <c r="A54" s="145"/>
      <c r="B54" s="150"/>
      <c r="C54" s="3"/>
      <c r="D54" s="3" t="s">
        <v>282</v>
      </c>
      <c r="E54" s="5"/>
      <c r="F54" s="5"/>
      <c r="G54" s="5"/>
      <c r="H54" s="5"/>
      <c r="I54" s="39" t="e">
        <f aca="true" t="shared" si="11" ref="I54:I63">(H54/G54)*100</f>
        <v>#DIV/0!</v>
      </c>
      <c r="J54" s="5">
        <f>J64+J68+J73+J75+J80+J74</f>
        <v>315600</v>
      </c>
      <c r="K54" s="119">
        <f t="shared" si="0"/>
        <v>1.1850216925768018</v>
      </c>
      <c r="L54" s="5">
        <f>L64+L68+L73+L75+L80+L74</f>
        <v>316000</v>
      </c>
      <c r="M54" s="45" t="e">
        <f>M64+M68+M73+M75+M80+M74</f>
        <v>#REF!</v>
      </c>
      <c r="N54" s="36"/>
      <c r="O54" s="35">
        <f t="shared" si="1"/>
        <v>1.2740736164469009</v>
      </c>
      <c r="P54" s="90"/>
    </row>
    <row r="55" spans="1:16" ht="12.75">
      <c r="A55" s="145"/>
      <c r="B55" s="150"/>
      <c r="C55" s="3"/>
      <c r="D55" s="3" t="s">
        <v>262</v>
      </c>
      <c r="E55" s="5"/>
      <c r="F55" s="5"/>
      <c r="G55" s="5"/>
      <c r="H55" s="5"/>
      <c r="I55" s="39" t="e">
        <f t="shared" si="11"/>
        <v>#DIV/0!</v>
      </c>
      <c r="J55" s="5">
        <f>J56+J57+J58+J59+J60+J61+J63+J67+J70+J72</f>
        <v>88929</v>
      </c>
      <c r="K55" s="119">
        <f t="shared" si="0"/>
        <v>0.33391252883131306</v>
      </c>
      <c r="L55" s="5">
        <f>L56+L57+L58+L59+L60+L61+L63+L67+L70+L72</f>
        <v>49954</v>
      </c>
      <c r="M55" s="45">
        <f>M56+M57+M58+M59+M60+M61+M63+M67+M70+M72</f>
        <v>0</v>
      </c>
      <c r="N55" s="36"/>
      <c r="O55" s="35">
        <f t="shared" si="1"/>
        <v>0.20140846024046993</v>
      </c>
      <c r="P55" s="90"/>
    </row>
    <row r="56" spans="1:16" ht="12.75">
      <c r="A56" s="145"/>
      <c r="B56" s="148"/>
      <c r="C56" s="4" t="s">
        <v>92</v>
      </c>
      <c r="D56" s="4" t="s">
        <v>93</v>
      </c>
      <c r="E56" s="6">
        <v>970.08</v>
      </c>
      <c r="F56" s="6"/>
      <c r="G56" s="6">
        <v>2000</v>
      </c>
      <c r="H56" s="6">
        <v>1924.3</v>
      </c>
      <c r="I56" s="36">
        <f t="shared" si="11"/>
        <v>96.21499999999999</v>
      </c>
      <c r="J56" s="6">
        <v>3500</v>
      </c>
      <c r="K56" s="119">
        <f t="shared" si="0"/>
        <v>0.013141875551390386</v>
      </c>
      <c r="L56" s="6">
        <v>2000</v>
      </c>
      <c r="M56" s="43"/>
      <c r="N56" s="36">
        <f aca="true" t="shared" si="12" ref="N56:N62">(L56/J56)*100</f>
        <v>57.14285714285714</v>
      </c>
      <c r="O56" s="35">
        <f t="shared" si="1"/>
        <v>0.008063757066119625</v>
      </c>
      <c r="P56" s="90"/>
    </row>
    <row r="57" spans="1:16" ht="13.5" customHeight="1">
      <c r="A57" s="145"/>
      <c r="B57" s="148"/>
      <c r="C57" s="4" t="s">
        <v>94</v>
      </c>
      <c r="D57" s="4" t="s">
        <v>95</v>
      </c>
      <c r="E57" s="6">
        <v>17550.24</v>
      </c>
      <c r="F57" s="6">
        <v>21600</v>
      </c>
      <c r="G57" s="6">
        <v>14600</v>
      </c>
      <c r="H57" s="6">
        <v>4331.68</v>
      </c>
      <c r="I57" s="36">
        <f t="shared" si="11"/>
        <v>29.669041095890414</v>
      </c>
      <c r="J57" s="6">
        <v>7900</v>
      </c>
      <c r="K57" s="119">
        <f t="shared" si="0"/>
        <v>0.02966309053028116</v>
      </c>
      <c r="L57" s="6">
        <v>19344</v>
      </c>
      <c r="M57" s="43"/>
      <c r="N57" s="36">
        <f t="shared" si="12"/>
        <v>244.86075949367088</v>
      </c>
      <c r="O57" s="35">
        <f t="shared" si="1"/>
        <v>0.07799265834350902</v>
      </c>
      <c r="P57" s="90"/>
    </row>
    <row r="58" spans="1:16" ht="16.5" customHeight="1">
      <c r="A58" s="145"/>
      <c r="B58" s="148"/>
      <c r="C58" s="22" t="s">
        <v>96</v>
      </c>
      <c r="D58" s="4" t="s">
        <v>264</v>
      </c>
      <c r="E58" s="6">
        <v>16234.46</v>
      </c>
      <c r="F58" s="6"/>
      <c r="G58" s="6"/>
      <c r="H58" s="6"/>
      <c r="I58" s="36" t="e">
        <f t="shared" si="11"/>
        <v>#DIV/0!</v>
      </c>
      <c r="J58" s="6"/>
      <c r="K58" s="119">
        <f t="shared" si="0"/>
        <v>0</v>
      </c>
      <c r="L58" s="6">
        <v>4680</v>
      </c>
      <c r="M58" s="43"/>
      <c r="N58" s="36"/>
      <c r="O58" s="35">
        <f t="shared" si="1"/>
        <v>0.018869191534719925</v>
      </c>
      <c r="P58" s="90"/>
    </row>
    <row r="59" spans="1:16" ht="12" customHeight="1">
      <c r="A59" s="145"/>
      <c r="B59" s="148"/>
      <c r="C59" s="4" t="s">
        <v>98</v>
      </c>
      <c r="D59" s="4" t="s">
        <v>84</v>
      </c>
      <c r="E59" s="6">
        <v>9971.25</v>
      </c>
      <c r="F59" s="6">
        <v>3300</v>
      </c>
      <c r="G59" s="6">
        <v>3300</v>
      </c>
      <c r="H59" s="6">
        <v>1519.1</v>
      </c>
      <c r="I59" s="36">
        <f t="shared" si="11"/>
        <v>46.03333333333333</v>
      </c>
      <c r="J59" s="6">
        <v>3300</v>
      </c>
      <c r="K59" s="119">
        <f t="shared" si="0"/>
        <v>0.01239091123416808</v>
      </c>
      <c r="L59" s="6">
        <v>4175</v>
      </c>
      <c r="M59" s="43"/>
      <c r="N59" s="36">
        <f t="shared" si="12"/>
        <v>126.51515151515152</v>
      </c>
      <c r="O59" s="35">
        <f t="shared" si="1"/>
        <v>0.01683309287552472</v>
      </c>
      <c r="P59" s="90"/>
    </row>
    <row r="60" spans="1:16" ht="12.75">
      <c r="A60" s="145"/>
      <c r="B60" s="148"/>
      <c r="C60" s="4" t="s">
        <v>99</v>
      </c>
      <c r="D60" s="4" t="s">
        <v>85</v>
      </c>
      <c r="E60" s="6">
        <v>1458.69</v>
      </c>
      <c r="F60" s="6">
        <v>529</v>
      </c>
      <c r="G60" s="6">
        <v>529</v>
      </c>
      <c r="H60" s="6">
        <v>179.16</v>
      </c>
      <c r="I60" s="36">
        <f t="shared" si="11"/>
        <v>33.86767485822306</v>
      </c>
      <c r="J60" s="6">
        <v>529</v>
      </c>
      <c r="K60" s="119">
        <f t="shared" si="0"/>
        <v>0.001986300619053004</v>
      </c>
      <c r="L60" s="6">
        <v>1055</v>
      </c>
      <c r="M60" s="43"/>
      <c r="N60" s="36">
        <f t="shared" si="12"/>
        <v>199.4328922495274</v>
      </c>
      <c r="O60" s="35">
        <f t="shared" si="1"/>
        <v>0.004253631852378103</v>
      </c>
      <c r="P60" s="90"/>
    </row>
    <row r="61" spans="1:16" ht="12.75">
      <c r="A61" s="145"/>
      <c r="B61" s="148"/>
      <c r="C61" s="4" t="s">
        <v>100</v>
      </c>
      <c r="D61" s="4" t="s">
        <v>86</v>
      </c>
      <c r="E61" s="6">
        <v>42510</v>
      </c>
      <c r="F61" s="6">
        <v>12000</v>
      </c>
      <c r="G61" s="6">
        <v>18000</v>
      </c>
      <c r="H61" s="6">
        <v>15919</v>
      </c>
      <c r="I61" s="36">
        <f t="shared" si="11"/>
        <v>88.43888888888888</v>
      </c>
      <c r="J61" s="6">
        <v>24700</v>
      </c>
      <c r="K61" s="119">
        <f t="shared" si="0"/>
        <v>0.09274409317695502</v>
      </c>
      <c r="L61" s="6">
        <v>12000</v>
      </c>
      <c r="M61" s="43"/>
      <c r="N61" s="36">
        <f t="shared" si="12"/>
        <v>48.582995951417004</v>
      </c>
      <c r="O61" s="35">
        <f t="shared" si="1"/>
        <v>0.048382542396717756</v>
      </c>
      <c r="P61" s="90"/>
    </row>
    <row r="62" spans="1:16" ht="15.75" customHeight="1">
      <c r="A62" s="145"/>
      <c r="B62" s="148"/>
      <c r="C62" s="4" t="s">
        <v>101</v>
      </c>
      <c r="D62" s="4" t="s">
        <v>102</v>
      </c>
      <c r="E62" s="6">
        <v>33849.03</v>
      </c>
      <c r="F62" s="6">
        <v>16000</v>
      </c>
      <c r="G62" s="6">
        <v>48000</v>
      </c>
      <c r="H62" s="6">
        <v>41459.04</v>
      </c>
      <c r="I62" s="36">
        <f t="shared" si="11"/>
        <v>86.373</v>
      </c>
      <c r="J62" s="6">
        <f>J63+J64+J65</f>
        <v>57300</v>
      </c>
      <c r="K62" s="119">
        <f t="shared" si="0"/>
        <v>0.2151512768841912</v>
      </c>
      <c r="L62" s="6">
        <f>L63+L64+L65</f>
        <v>17000</v>
      </c>
      <c r="M62" s="43"/>
      <c r="N62" s="36">
        <f t="shared" si="12"/>
        <v>29.668411867364746</v>
      </c>
      <c r="O62" s="35">
        <f t="shared" si="1"/>
        <v>0.06854193506201682</v>
      </c>
      <c r="P62" s="90"/>
    </row>
    <row r="63" spans="1:16" ht="15.75" customHeight="1">
      <c r="A63" s="145"/>
      <c r="B63" s="148"/>
      <c r="C63" s="4"/>
      <c r="D63" s="4" t="s">
        <v>262</v>
      </c>
      <c r="E63" s="6"/>
      <c r="F63" s="6"/>
      <c r="G63" s="6"/>
      <c r="H63" s="6"/>
      <c r="I63" s="36" t="e">
        <f t="shared" si="11"/>
        <v>#DIV/0!</v>
      </c>
      <c r="J63" s="6">
        <v>47000</v>
      </c>
      <c r="K63" s="119">
        <f t="shared" si="0"/>
        <v>0.17647661454724234</v>
      </c>
      <c r="L63" s="6">
        <v>5000</v>
      </c>
      <c r="M63" s="43"/>
      <c r="N63" s="36"/>
      <c r="O63" s="35">
        <f t="shared" si="1"/>
        <v>0.020159392665299068</v>
      </c>
      <c r="P63" s="90"/>
    </row>
    <row r="64" spans="1:16" ht="15.75" customHeight="1">
      <c r="A64" s="145"/>
      <c r="B64" s="148"/>
      <c r="C64" s="4"/>
      <c r="D64" s="4" t="s">
        <v>282</v>
      </c>
      <c r="E64" s="6"/>
      <c r="F64" s="6"/>
      <c r="G64" s="6"/>
      <c r="H64" s="6"/>
      <c r="I64" s="36"/>
      <c r="J64" s="6">
        <v>10000</v>
      </c>
      <c r="K64" s="119">
        <f t="shared" si="0"/>
        <v>0.0375482158611154</v>
      </c>
      <c r="L64" s="6">
        <v>12000</v>
      </c>
      <c r="M64" s="43"/>
      <c r="N64" s="36"/>
      <c r="O64" s="35">
        <f t="shared" si="1"/>
        <v>0.048382542396717756</v>
      </c>
      <c r="P64" s="90"/>
    </row>
    <row r="65" spans="1:16" ht="21">
      <c r="A65" s="145"/>
      <c r="B65" s="148"/>
      <c r="C65" s="4"/>
      <c r="D65" s="24" t="s">
        <v>319</v>
      </c>
      <c r="E65" s="25"/>
      <c r="F65" s="25"/>
      <c r="G65" s="25">
        <v>1000</v>
      </c>
      <c r="H65" s="25"/>
      <c r="I65" s="39"/>
      <c r="J65" s="25">
        <v>300</v>
      </c>
      <c r="K65" s="119">
        <f t="shared" si="0"/>
        <v>0.0011264464758334617</v>
      </c>
      <c r="L65" s="25"/>
      <c r="M65" s="45"/>
      <c r="N65" s="38"/>
      <c r="O65" s="35">
        <f t="shared" si="1"/>
        <v>0</v>
      </c>
      <c r="P65" s="90"/>
    </row>
    <row r="66" spans="1:16" ht="15.75" customHeight="1">
      <c r="A66" s="145"/>
      <c r="B66" s="148"/>
      <c r="C66" s="4" t="s">
        <v>76</v>
      </c>
      <c r="D66" s="4" t="s">
        <v>77</v>
      </c>
      <c r="E66" s="6">
        <v>94268.3</v>
      </c>
      <c r="F66" s="6">
        <v>155690.81</v>
      </c>
      <c r="G66" s="6">
        <v>104190.81</v>
      </c>
      <c r="H66" s="6">
        <v>53520.98</v>
      </c>
      <c r="I66" s="36">
        <f>(H66/G66)*100</f>
        <v>51.36823487599339</v>
      </c>
      <c r="J66" s="6">
        <v>100000</v>
      </c>
      <c r="K66" s="119">
        <f t="shared" si="0"/>
        <v>0.3754821586111539</v>
      </c>
      <c r="L66" s="6">
        <f>L67+L68+L69</f>
        <v>100500</v>
      </c>
      <c r="M66" s="43">
        <f>M67+M68</f>
        <v>0</v>
      </c>
      <c r="N66" s="36">
        <f>(L66/J66)*100</f>
        <v>100.49999999999999</v>
      </c>
      <c r="O66" s="35">
        <f t="shared" si="1"/>
        <v>0.40520379257251127</v>
      </c>
      <c r="P66" s="90"/>
    </row>
    <row r="67" spans="1:16" ht="15.75" customHeight="1">
      <c r="A67" s="145"/>
      <c r="B67" s="148"/>
      <c r="C67" s="4"/>
      <c r="D67" s="4" t="s">
        <v>262</v>
      </c>
      <c r="E67" s="6"/>
      <c r="F67" s="6"/>
      <c r="G67" s="6"/>
      <c r="H67" s="6"/>
      <c r="I67" s="36" t="e">
        <f>(H67/G67)*100</f>
        <v>#DIV/0!</v>
      </c>
      <c r="J67" s="6">
        <v>500</v>
      </c>
      <c r="K67" s="119">
        <f t="shared" si="0"/>
        <v>0.0018774107930557696</v>
      </c>
      <c r="L67" s="6">
        <v>500</v>
      </c>
      <c r="M67" s="43"/>
      <c r="N67" s="36"/>
      <c r="O67" s="35">
        <f t="shared" si="1"/>
        <v>0.0020159392665299062</v>
      </c>
      <c r="P67" s="90"/>
    </row>
    <row r="68" spans="1:16" ht="15.75" customHeight="1">
      <c r="A68" s="145"/>
      <c r="B68" s="148"/>
      <c r="C68" s="4"/>
      <c r="D68" s="4" t="s">
        <v>282</v>
      </c>
      <c r="E68" s="6"/>
      <c r="F68" s="6"/>
      <c r="G68" s="6"/>
      <c r="H68" s="6"/>
      <c r="I68" s="36"/>
      <c r="J68" s="6">
        <v>100000</v>
      </c>
      <c r="K68" s="119">
        <f t="shared" si="0"/>
        <v>0.3754821586111539</v>
      </c>
      <c r="L68" s="6">
        <v>100000</v>
      </c>
      <c r="M68" s="43"/>
      <c r="N68" s="36"/>
      <c r="O68" s="35">
        <f t="shared" si="1"/>
        <v>0.40318785330598134</v>
      </c>
      <c r="P68" s="90"/>
    </row>
    <row r="69" spans="1:16" ht="21">
      <c r="A69" s="145"/>
      <c r="B69" s="148"/>
      <c r="C69" s="4"/>
      <c r="D69" s="24" t="s">
        <v>319</v>
      </c>
      <c r="E69" s="6"/>
      <c r="F69" s="6"/>
      <c r="G69" s="6">
        <v>3690.81</v>
      </c>
      <c r="H69" s="6"/>
      <c r="I69" s="36"/>
      <c r="J69" s="6">
        <v>1000</v>
      </c>
      <c r="K69" s="119">
        <f aca="true" t="shared" si="13" ref="K69:K132">(J69/$J$769)*100</f>
        <v>0.0037548215861115393</v>
      </c>
      <c r="L69" s="25"/>
      <c r="M69" s="43"/>
      <c r="N69" s="36"/>
      <c r="O69" s="35">
        <f aca="true" t="shared" si="14" ref="O69:O132">L69/$L$769*100</f>
        <v>0</v>
      </c>
      <c r="P69" s="90"/>
    </row>
    <row r="70" spans="1:16" ht="12.75">
      <c r="A70" s="145"/>
      <c r="B70" s="148"/>
      <c r="C70" s="4">
        <v>4280</v>
      </c>
      <c r="D70" s="4" t="s">
        <v>263</v>
      </c>
      <c r="E70" s="6">
        <v>80</v>
      </c>
      <c r="F70" s="6"/>
      <c r="G70" s="6">
        <v>500</v>
      </c>
      <c r="H70" s="6">
        <v>280</v>
      </c>
      <c r="I70" s="36">
        <f>(H70/G70)*100</f>
        <v>56.00000000000001</v>
      </c>
      <c r="J70" s="6">
        <v>500</v>
      </c>
      <c r="K70" s="119">
        <f t="shared" si="13"/>
        <v>0.0018774107930557696</v>
      </c>
      <c r="L70" s="6">
        <v>200</v>
      </c>
      <c r="M70" s="43"/>
      <c r="N70" s="36">
        <f>(L70/J70)*100</f>
        <v>40</v>
      </c>
      <c r="O70" s="35">
        <f t="shared" si="14"/>
        <v>0.0008063757066119625</v>
      </c>
      <c r="P70" s="90"/>
    </row>
    <row r="71" spans="1:16" ht="12.75">
      <c r="A71" s="145"/>
      <c r="B71" s="148"/>
      <c r="C71" s="4" t="s">
        <v>78</v>
      </c>
      <c r="D71" s="4" t="s">
        <v>87</v>
      </c>
      <c r="E71" s="6">
        <v>234425.21</v>
      </c>
      <c r="F71" s="6">
        <v>200000</v>
      </c>
      <c r="G71" s="6">
        <v>151000</v>
      </c>
      <c r="H71" s="6">
        <v>55400.6</v>
      </c>
      <c r="I71" s="36">
        <f>(H71/G71)*100</f>
        <v>36.68913907284768</v>
      </c>
      <c r="J71" s="6">
        <v>110000</v>
      </c>
      <c r="K71" s="119">
        <f t="shared" si="13"/>
        <v>0.4130303744722693</v>
      </c>
      <c r="L71" s="6">
        <f>L72+L73</f>
        <v>181000</v>
      </c>
      <c r="M71" s="43">
        <f>M72+M73</f>
        <v>0</v>
      </c>
      <c r="N71" s="36">
        <f>(L71/J71)*100</f>
        <v>164.54545454545456</v>
      </c>
      <c r="O71" s="35">
        <f t="shared" si="14"/>
        <v>0.7297700144838262</v>
      </c>
      <c r="P71" s="90"/>
    </row>
    <row r="72" spans="1:16" ht="12.75">
      <c r="A72" s="145"/>
      <c r="B72" s="148"/>
      <c r="C72" s="4"/>
      <c r="D72" s="4" t="s">
        <v>262</v>
      </c>
      <c r="E72" s="6"/>
      <c r="F72" s="6"/>
      <c r="G72" s="6"/>
      <c r="H72" s="6"/>
      <c r="I72" s="36" t="e">
        <f>(H72/G72)*100</f>
        <v>#DIV/0!</v>
      </c>
      <c r="J72" s="6">
        <v>1000</v>
      </c>
      <c r="K72" s="119">
        <f t="shared" si="13"/>
        <v>0.0037548215861115393</v>
      </c>
      <c r="L72" s="6">
        <v>1000</v>
      </c>
      <c r="M72" s="43"/>
      <c r="N72" s="36"/>
      <c r="O72" s="35">
        <f t="shared" si="14"/>
        <v>0.0040318785330598125</v>
      </c>
      <c r="P72" s="90"/>
    </row>
    <row r="73" spans="1:16" ht="12.75">
      <c r="A73" s="145"/>
      <c r="B73" s="148"/>
      <c r="C73" s="4"/>
      <c r="D73" s="4" t="s">
        <v>282</v>
      </c>
      <c r="E73" s="6"/>
      <c r="F73" s="6"/>
      <c r="G73" s="6"/>
      <c r="H73" s="6"/>
      <c r="I73" s="36"/>
      <c r="J73" s="6">
        <v>150000</v>
      </c>
      <c r="K73" s="119">
        <f t="shared" si="13"/>
        <v>0.5632232379167309</v>
      </c>
      <c r="L73" s="6">
        <v>180000</v>
      </c>
      <c r="M73" s="43"/>
      <c r="N73" s="36"/>
      <c r="O73" s="35">
        <f t="shared" si="14"/>
        <v>0.7257381359507663</v>
      </c>
      <c r="P73" s="90"/>
    </row>
    <row r="74" spans="1:16" ht="22.5">
      <c r="A74" s="145"/>
      <c r="B74" s="148"/>
      <c r="C74" s="4">
        <v>4520</v>
      </c>
      <c r="D74" s="4" t="s">
        <v>103</v>
      </c>
      <c r="E74" s="6">
        <v>3085.32</v>
      </c>
      <c r="F74" s="6">
        <v>3500</v>
      </c>
      <c r="G74" s="6">
        <v>3500</v>
      </c>
      <c r="H74" s="6">
        <v>186.13</v>
      </c>
      <c r="I74" s="36">
        <f>(H74/G74)*100</f>
        <v>5.318</v>
      </c>
      <c r="J74" s="6">
        <v>600</v>
      </c>
      <c r="K74" s="119">
        <f t="shared" si="13"/>
        <v>0.0022528929516669235</v>
      </c>
      <c r="L74" s="6">
        <v>1000</v>
      </c>
      <c r="M74" s="43"/>
      <c r="N74" s="36">
        <f>(L74/J74)*100</f>
        <v>166.66666666666669</v>
      </c>
      <c r="O74" s="35">
        <f t="shared" si="14"/>
        <v>0.0040318785330598125</v>
      </c>
      <c r="P74" s="90"/>
    </row>
    <row r="75" spans="1:16" ht="22.5">
      <c r="A75" s="145"/>
      <c r="B75" s="148"/>
      <c r="C75" s="137" t="s">
        <v>36</v>
      </c>
      <c r="D75" s="46" t="s">
        <v>283</v>
      </c>
      <c r="E75" s="25">
        <v>1913692.7</v>
      </c>
      <c r="F75" s="25">
        <v>272008.5</v>
      </c>
      <c r="G75" s="25">
        <v>27008.5</v>
      </c>
      <c r="H75" s="25"/>
      <c r="I75" s="6" t="e">
        <f>#REF!+I76+I77+#REF!+#REF!+#REF!+#REF!+#REF!+#REF!</f>
        <v>#REF!</v>
      </c>
      <c r="J75" s="25">
        <f>J76+J77</f>
        <v>10000</v>
      </c>
      <c r="K75" s="119">
        <f t="shared" si="13"/>
        <v>0.0375482158611154</v>
      </c>
      <c r="L75" s="25">
        <f>L76+L77</f>
        <v>20000</v>
      </c>
      <c r="M75" s="78" t="e">
        <f>#REF!+M76+M77+#REF!</f>
        <v>#REF!</v>
      </c>
      <c r="N75" s="39">
        <f>(L75/J75)*100</f>
        <v>200</v>
      </c>
      <c r="O75" s="35">
        <f t="shared" si="14"/>
        <v>0.08063757066119627</v>
      </c>
      <c r="P75" s="90"/>
    </row>
    <row r="76" spans="1:16" ht="24" customHeight="1">
      <c r="A76" s="145"/>
      <c r="B76" s="148"/>
      <c r="C76" s="138"/>
      <c r="D76" s="85" t="s">
        <v>319</v>
      </c>
      <c r="E76" s="26"/>
      <c r="F76" s="26">
        <v>27008.5</v>
      </c>
      <c r="G76" s="26">
        <v>27008.5</v>
      </c>
      <c r="H76" s="26"/>
      <c r="I76" s="38">
        <f>(H76/G76)*100</f>
        <v>0</v>
      </c>
      <c r="J76" s="26">
        <v>10000</v>
      </c>
      <c r="K76" s="119">
        <f t="shared" si="13"/>
        <v>0.0375482158611154</v>
      </c>
      <c r="L76" s="40"/>
      <c r="M76" s="86"/>
      <c r="N76" s="38"/>
      <c r="O76" s="35">
        <f t="shared" si="14"/>
        <v>0</v>
      </c>
      <c r="P76" s="90"/>
    </row>
    <row r="77" spans="1:16" ht="42.75" customHeight="1">
      <c r="A77" s="145"/>
      <c r="B77" s="148"/>
      <c r="C77" s="138"/>
      <c r="D77" s="69" t="s">
        <v>334</v>
      </c>
      <c r="E77" s="27"/>
      <c r="F77" s="27"/>
      <c r="G77" s="27"/>
      <c r="H77" s="27"/>
      <c r="I77" s="36" t="e">
        <f>(H77/G77)*100</f>
        <v>#DIV/0!</v>
      </c>
      <c r="J77" s="27"/>
      <c r="K77" s="119">
        <f t="shared" si="13"/>
        <v>0</v>
      </c>
      <c r="L77" s="28">
        <v>20000</v>
      </c>
      <c r="M77" s="79"/>
      <c r="N77" s="36"/>
      <c r="O77" s="35">
        <f t="shared" si="14"/>
        <v>0.08063757066119627</v>
      </c>
      <c r="P77" s="90"/>
    </row>
    <row r="78" spans="1:16" ht="12.75">
      <c r="A78" s="145"/>
      <c r="B78" s="148"/>
      <c r="C78" s="46">
        <v>6057</v>
      </c>
      <c r="D78" s="4" t="s">
        <v>43</v>
      </c>
      <c r="E78" s="27">
        <f>E79</f>
        <v>0</v>
      </c>
      <c r="F78" s="27">
        <f>F79</f>
        <v>0</v>
      </c>
      <c r="G78" s="27">
        <v>25000</v>
      </c>
      <c r="H78" s="27">
        <f>H79</f>
        <v>0</v>
      </c>
      <c r="I78" s="27">
        <f>I79</f>
        <v>0</v>
      </c>
      <c r="J78" s="27">
        <v>25000</v>
      </c>
      <c r="K78" s="119">
        <f t="shared" si="13"/>
        <v>0.09387053965278848</v>
      </c>
      <c r="L78" s="27">
        <f>L79</f>
        <v>0</v>
      </c>
      <c r="M78" s="78">
        <f>M79</f>
        <v>0</v>
      </c>
      <c r="N78" s="36"/>
      <c r="O78" s="35">
        <f t="shared" si="14"/>
        <v>0</v>
      </c>
      <c r="P78" s="90"/>
    </row>
    <row r="79" spans="1:16" ht="17.25" customHeight="1">
      <c r="A79" s="145"/>
      <c r="B79" s="148"/>
      <c r="C79" s="72"/>
      <c r="D79" s="23" t="s">
        <v>330</v>
      </c>
      <c r="E79" s="27"/>
      <c r="F79" s="27"/>
      <c r="G79" s="27"/>
      <c r="H79" s="27"/>
      <c r="I79" s="36"/>
      <c r="J79" s="27"/>
      <c r="K79" s="119">
        <f t="shared" si="13"/>
        <v>0</v>
      </c>
      <c r="L79" s="28"/>
      <c r="M79" s="79"/>
      <c r="N79" s="36"/>
      <c r="O79" s="35">
        <f t="shared" si="14"/>
        <v>0</v>
      </c>
      <c r="P79" s="90"/>
    </row>
    <row r="80" spans="1:16" ht="12.75">
      <c r="A80" s="145"/>
      <c r="B80" s="148"/>
      <c r="C80" s="159">
        <v>6059</v>
      </c>
      <c r="D80" s="4" t="s">
        <v>43</v>
      </c>
      <c r="E80" s="6">
        <v>42832.9</v>
      </c>
      <c r="F80" s="6">
        <v>23500</v>
      </c>
      <c r="G80" s="6">
        <v>68500</v>
      </c>
      <c r="H80" s="6">
        <v>9063.01</v>
      </c>
      <c r="I80" s="36">
        <f>(H80/G80)*100</f>
        <v>13.230671532846717</v>
      </c>
      <c r="J80" s="6">
        <v>45000</v>
      </c>
      <c r="K80" s="119">
        <f t="shared" si="13"/>
        <v>0.16896697137501926</v>
      </c>
      <c r="L80" s="29">
        <f>L81</f>
        <v>3000</v>
      </c>
      <c r="M80" s="77">
        <f>M81</f>
        <v>0</v>
      </c>
      <c r="N80" s="36">
        <f>(L80/J80)*100</f>
        <v>6.666666666666667</v>
      </c>
      <c r="O80" s="35">
        <f t="shared" si="14"/>
        <v>0.012095635599179439</v>
      </c>
      <c r="P80" s="90"/>
    </row>
    <row r="81" spans="1:16" ht="12.75">
      <c r="A81" s="145"/>
      <c r="B81" s="148"/>
      <c r="C81" s="160"/>
      <c r="D81" s="4" t="s">
        <v>330</v>
      </c>
      <c r="E81" s="6"/>
      <c r="F81" s="6"/>
      <c r="G81" s="6"/>
      <c r="H81" s="6"/>
      <c r="I81" s="36" t="e">
        <f>(H81/G81)*100</f>
        <v>#DIV/0!</v>
      </c>
      <c r="J81" s="6"/>
      <c r="K81" s="119">
        <f t="shared" si="13"/>
        <v>0</v>
      </c>
      <c r="L81" s="29">
        <v>3000</v>
      </c>
      <c r="M81" s="77"/>
      <c r="N81" s="36"/>
      <c r="O81" s="35">
        <f t="shared" si="14"/>
        <v>0.012095635599179439</v>
      </c>
      <c r="P81" s="90"/>
    </row>
    <row r="82" spans="1:16" ht="12.75">
      <c r="A82" s="134" t="s">
        <v>44</v>
      </c>
      <c r="B82" s="4"/>
      <c r="C82" s="4"/>
      <c r="D82" s="3" t="s">
        <v>13</v>
      </c>
      <c r="E82" s="5" t="e">
        <f>#REF!+E89+E91</f>
        <v>#REF!</v>
      </c>
      <c r="F82" s="5" t="e">
        <f>#REF!+F89+F91</f>
        <v>#REF!</v>
      </c>
      <c r="G82" s="5" t="e">
        <f>#REF!+G89+G91</f>
        <v>#REF!</v>
      </c>
      <c r="H82" s="5" t="e">
        <f>#REF!+H89+H91</f>
        <v>#REF!</v>
      </c>
      <c r="I82" s="39" t="e">
        <f>(H82/G82)*100</f>
        <v>#REF!</v>
      </c>
      <c r="J82" s="5">
        <f>J89+J91</f>
        <v>65700</v>
      </c>
      <c r="K82" s="120">
        <f t="shared" si="13"/>
        <v>0.2466917782075281</v>
      </c>
      <c r="L82" s="5">
        <f>L89+L91</f>
        <v>355178.55</v>
      </c>
      <c r="M82" s="45" t="e">
        <f>#REF!+M89+M91</f>
        <v>#REF!</v>
      </c>
      <c r="N82" s="38">
        <f>(L82/J82)*100</f>
        <v>540.6066210045661</v>
      </c>
      <c r="O82" s="67">
        <f t="shared" si="14"/>
        <v>1.4320367711483115</v>
      </c>
      <c r="P82" s="90"/>
    </row>
    <row r="83" spans="1:16" ht="12.75">
      <c r="A83" s="134"/>
      <c r="B83" s="4"/>
      <c r="C83" s="4"/>
      <c r="D83" s="8" t="s">
        <v>230</v>
      </c>
      <c r="E83" s="6" t="e">
        <f>#REF!+#REF!+E90+E92+E93+E95+E96+E97+E98+E99</f>
        <v>#REF!</v>
      </c>
      <c r="F83" s="6">
        <f aca="true" t="shared" si="15" ref="F83:M83">F90+F92+F93+F95+F96+F97+F98+F99</f>
        <v>105262.6</v>
      </c>
      <c r="G83" s="6">
        <f t="shared" si="15"/>
        <v>114714.6</v>
      </c>
      <c r="H83" s="6">
        <f t="shared" si="15"/>
        <v>54889.56</v>
      </c>
      <c r="I83" s="6">
        <f t="shared" si="15"/>
        <v>428.4630699381519</v>
      </c>
      <c r="J83" s="6">
        <f t="shared" si="15"/>
        <v>60700</v>
      </c>
      <c r="K83" s="119">
        <f t="shared" si="13"/>
        <v>0.22791767027697044</v>
      </c>
      <c r="L83" s="6">
        <f t="shared" si="15"/>
        <v>70350</v>
      </c>
      <c r="M83" s="43">
        <f t="shared" si="15"/>
        <v>0</v>
      </c>
      <c r="N83" s="36">
        <f>(L83/J83)*100</f>
        <v>115.89785831960462</v>
      </c>
      <c r="O83" s="35">
        <f t="shared" si="14"/>
        <v>0.28364265480075784</v>
      </c>
      <c r="P83" s="90"/>
    </row>
    <row r="84" spans="1:16" ht="12.75">
      <c r="A84" s="134"/>
      <c r="B84" s="4"/>
      <c r="C84" s="4"/>
      <c r="D84" s="8" t="s">
        <v>231</v>
      </c>
      <c r="E84" s="6">
        <f aca="true" t="shared" si="16" ref="E84:M84">E100+E104+E106+E102</f>
        <v>100063.31</v>
      </c>
      <c r="F84" s="6">
        <f t="shared" si="16"/>
        <v>47329</v>
      </c>
      <c r="G84" s="6">
        <f t="shared" si="16"/>
        <v>69329</v>
      </c>
      <c r="H84" s="6">
        <f t="shared" si="16"/>
        <v>2268.09</v>
      </c>
      <c r="I84" s="6" t="e">
        <f t="shared" si="16"/>
        <v>#DIV/0!</v>
      </c>
      <c r="J84" s="6">
        <f t="shared" si="16"/>
        <v>5000</v>
      </c>
      <c r="K84" s="119">
        <f t="shared" si="13"/>
        <v>0.0187741079305577</v>
      </c>
      <c r="L84" s="6">
        <f t="shared" si="16"/>
        <v>284828.55</v>
      </c>
      <c r="M84" s="43">
        <f t="shared" si="16"/>
        <v>0</v>
      </c>
      <c r="N84" s="36">
        <f>(L84/J84)*100</f>
        <v>5696.570999999999</v>
      </c>
      <c r="O84" s="35">
        <f t="shared" si="14"/>
        <v>1.1483941163475535</v>
      </c>
      <c r="P84" s="90"/>
    </row>
    <row r="85" spans="1:16" ht="12.75">
      <c r="A85" s="134"/>
      <c r="B85" s="4"/>
      <c r="C85" s="4"/>
      <c r="D85" s="8" t="s">
        <v>347</v>
      </c>
      <c r="E85" s="6">
        <f aca="true" t="shared" si="17" ref="E85:L85">E102+E104</f>
        <v>746.49</v>
      </c>
      <c r="F85" s="6">
        <f t="shared" si="17"/>
        <v>0</v>
      </c>
      <c r="G85" s="6">
        <f t="shared" si="17"/>
        <v>0</v>
      </c>
      <c r="H85" s="6">
        <f t="shared" si="17"/>
        <v>0</v>
      </c>
      <c r="I85" s="6" t="e">
        <f t="shared" si="17"/>
        <v>#DIV/0!</v>
      </c>
      <c r="J85" s="6">
        <f t="shared" si="17"/>
        <v>0</v>
      </c>
      <c r="K85" s="119">
        <f t="shared" si="13"/>
        <v>0</v>
      </c>
      <c r="L85" s="6">
        <f t="shared" si="17"/>
        <v>279328.55</v>
      </c>
      <c r="M85" s="43"/>
      <c r="N85" s="38"/>
      <c r="O85" s="35">
        <f t="shared" si="14"/>
        <v>1.1262187844157245</v>
      </c>
      <c r="P85" s="90"/>
    </row>
    <row r="86" spans="1:16" ht="12.75">
      <c r="A86" s="134"/>
      <c r="B86" s="4"/>
      <c r="C86" s="4"/>
      <c r="D86" s="8" t="s">
        <v>236</v>
      </c>
      <c r="E86" s="6">
        <v>0</v>
      </c>
      <c r="F86" s="6">
        <v>0</v>
      </c>
      <c r="G86" s="6">
        <v>0</v>
      </c>
      <c r="H86" s="6">
        <v>0</v>
      </c>
      <c r="I86" s="6" t="e">
        <f>#REF!</f>
        <v>#REF!</v>
      </c>
      <c r="J86" s="6">
        <v>0</v>
      </c>
      <c r="K86" s="119">
        <f t="shared" si="13"/>
        <v>0</v>
      </c>
      <c r="L86" s="6">
        <v>0</v>
      </c>
      <c r="M86" s="43">
        <v>0</v>
      </c>
      <c r="N86" s="38"/>
      <c r="O86" s="35">
        <f t="shared" si="14"/>
        <v>0</v>
      </c>
      <c r="P86" s="90"/>
    </row>
    <row r="87" spans="1:16" ht="12.75">
      <c r="A87" s="134"/>
      <c r="B87" s="4"/>
      <c r="C87" s="4"/>
      <c r="D87" s="23" t="s">
        <v>348</v>
      </c>
      <c r="E87" s="27" t="e">
        <f aca="true" t="shared" si="18" ref="E87:M87">E83+E84+E86</f>
        <v>#REF!</v>
      </c>
      <c r="F87" s="27">
        <f t="shared" si="18"/>
        <v>152591.6</v>
      </c>
      <c r="G87" s="27">
        <f t="shared" si="18"/>
        <v>184043.6</v>
      </c>
      <c r="H87" s="27">
        <f t="shared" si="18"/>
        <v>57157.649999999994</v>
      </c>
      <c r="I87" s="27" t="e">
        <f t="shared" si="18"/>
        <v>#DIV/0!</v>
      </c>
      <c r="J87" s="27">
        <f t="shared" si="18"/>
        <v>65700</v>
      </c>
      <c r="K87" s="119">
        <f t="shared" si="13"/>
        <v>0.2466917782075281</v>
      </c>
      <c r="L87" s="27">
        <f t="shared" si="18"/>
        <v>355178.55</v>
      </c>
      <c r="M87" s="31">
        <f t="shared" si="18"/>
        <v>0</v>
      </c>
      <c r="N87" s="36">
        <f>(L87/J87)*100</f>
        <v>540.6066210045661</v>
      </c>
      <c r="O87" s="35">
        <f t="shared" si="14"/>
        <v>1.4320367711483115</v>
      </c>
      <c r="P87" s="90"/>
    </row>
    <row r="88" spans="1:16" ht="12.75">
      <c r="A88" s="134"/>
      <c r="B88" s="4"/>
      <c r="C88" s="4"/>
      <c r="D88" s="24" t="s">
        <v>253</v>
      </c>
      <c r="E88" s="6"/>
      <c r="F88" s="6"/>
      <c r="G88" s="6"/>
      <c r="H88" s="6"/>
      <c r="I88" s="39" t="e">
        <f>(H88/G88)*100</f>
        <v>#DIV/0!</v>
      </c>
      <c r="J88" s="6"/>
      <c r="K88" s="119">
        <f t="shared" si="13"/>
        <v>0</v>
      </c>
      <c r="L88" s="6"/>
      <c r="M88" s="43"/>
      <c r="N88" s="38"/>
      <c r="O88" s="35">
        <f t="shared" si="14"/>
        <v>0</v>
      </c>
      <c r="P88" s="90"/>
    </row>
    <row r="89" spans="1:16" ht="21">
      <c r="A89" s="153"/>
      <c r="B89" s="155" t="s">
        <v>104</v>
      </c>
      <c r="C89" s="4"/>
      <c r="D89" s="3" t="s">
        <v>105</v>
      </c>
      <c r="E89" s="5">
        <f aca="true" t="shared" si="19" ref="E89:M89">E90</f>
        <v>7333.26</v>
      </c>
      <c r="F89" s="5">
        <f t="shared" si="19"/>
        <v>11000</v>
      </c>
      <c r="G89" s="5">
        <f t="shared" si="19"/>
        <v>17100</v>
      </c>
      <c r="H89" s="5">
        <f t="shared" si="19"/>
        <v>7999.86</v>
      </c>
      <c r="I89" s="5">
        <f t="shared" si="19"/>
        <v>46.78280701754386</v>
      </c>
      <c r="J89" s="5">
        <f t="shared" si="19"/>
        <v>13000</v>
      </c>
      <c r="K89" s="120">
        <f t="shared" si="13"/>
        <v>0.04881268061945001</v>
      </c>
      <c r="L89" s="5">
        <f t="shared" si="19"/>
        <v>18000</v>
      </c>
      <c r="M89" s="45">
        <f t="shared" si="19"/>
        <v>0</v>
      </c>
      <c r="N89" s="38">
        <f>(L89/J89)*100</f>
        <v>138.46153846153845</v>
      </c>
      <c r="O89" s="67">
        <f t="shared" si="14"/>
        <v>0.07257381359507664</v>
      </c>
      <c r="P89" s="90"/>
    </row>
    <row r="90" spans="1:16" ht="12.75">
      <c r="A90" s="153"/>
      <c r="B90" s="155"/>
      <c r="C90" s="4" t="s">
        <v>78</v>
      </c>
      <c r="D90" s="4" t="s">
        <v>87</v>
      </c>
      <c r="E90" s="6">
        <v>7333.26</v>
      </c>
      <c r="F90" s="6">
        <v>11000</v>
      </c>
      <c r="G90" s="6">
        <v>17100</v>
      </c>
      <c r="H90" s="6">
        <v>7999.86</v>
      </c>
      <c r="I90" s="39">
        <f>(H90/G90)*100</f>
        <v>46.78280701754386</v>
      </c>
      <c r="J90" s="6">
        <v>13000</v>
      </c>
      <c r="K90" s="119">
        <f t="shared" si="13"/>
        <v>0.04881268061945001</v>
      </c>
      <c r="L90" s="29">
        <v>18000</v>
      </c>
      <c r="M90" s="77"/>
      <c r="N90" s="36">
        <f>(L90/J90)*100</f>
        <v>138.46153846153845</v>
      </c>
      <c r="O90" s="35">
        <f t="shared" si="14"/>
        <v>0.07257381359507664</v>
      </c>
      <c r="P90" s="90"/>
    </row>
    <row r="91" spans="1:16" ht="15.75" customHeight="1">
      <c r="A91" s="153"/>
      <c r="B91" s="147" t="s">
        <v>45</v>
      </c>
      <c r="C91" s="4"/>
      <c r="D91" s="3" t="s">
        <v>46</v>
      </c>
      <c r="E91" s="5">
        <f aca="true" t="shared" si="20" ref="E91:M91">E92+E93+E95+E96+E97+E100+E106+E98+E104+E99+E102</f>
        <v>178747.19999999998</v>
      </c>
      <c r="F91" s="5">
        <f t="shared" si="20"/>
        <v>141591.6</v>
      </c>
      <c r="G91" s="5">
        <f t="shared" si="20"/>
        <v>166943.6</v>
      </c>
      <c r="H91" s="5">
        <f t="shared" si="20"/>
        <v>49157.79</v>
      </c>
      <c r="I91" s="5" t="e">
        <f t="shared" si="20"/>
        <v>#DIV/0!</v>
      </c>
      <c r="J91" s="5">
        <f t="shared" si="20"/>
        <v>52700</v>
      </c>
      <c r="K91" s="120">
        <f t="shared" si="13"/>
        <v>0.19787909758807815</v>
      </c>
      <c r="L91" s="5">
        <f t="shared" si="20"/>
        <v>337178.55</v>
      </c>
      <c r="M91" s="45">
        <f t="shared" si="20"/>
        <v>0</v>
      </c>
      <c r="N91" s="38">
        <f>(L91/J91)*100</f>
        <v>639.8074952561669</v>
      </c>
      <c r="O91" s="67">
        <f t="shared" si="14"/>
        <v>1.3594629575532349</v>
      </c>
      <c r="P91" s="90"/>
    </row>
    <row r="92" spans="1:16" ht="12.75">
      <c r="A92" s="153"/>
      <c r="B92" s="150"/>
      <c r="C92" s="4" t="s">
        <v>100</v>
      </c>
      <c r="D92" s="4" t="s">
        <v>107</v>
      </c>
      <c r="E92" s="6">
        <v>1800</v>
      </c>
      <c r="F92" s="6">
        <v>1900</v>
      </c>
      <c r="G92" s="6">
        <v>1900</v>
      </c>
      <c r="H92" s="6">
        <v>117</v>
      </c>
      <c r="I92" s="39">
        <f>(H92/G92)*100</f>
        <v>6.157894736842105</v>
      </c>
      <c r="J92" s="6">
        <v>600</v>
      </c>
      <c r="K92" s="119">
        <f t="shared" si="13"/>
        <v>0.0022528929516669235</v>
      </c>
      <c r="L92" s="29">
        <v>1000</v>
      </c>
      <c r="M92" s="77"/>
      <c r="N92" s="36">
        <f>(L92/J92)*100</f>
        <v>166.66666666666669</v>
      </c>
      <c r="O92" s="35">
        <f t="shared" si="14"/>
        <v>0.0040318785330598125</v>
      </c>
      <c r="P92" s="90"/>
    </row>
    <row r="93" spans="1:16" ht="12.75">
      <c r="A93" s="153"/>
      <c r="B93" s="150"/>
      <c r="C93" s="4" t="s">
        <v>101</v>
      </c>
      <c r="D93" s="4" t="s">
        <v>108</v>
      </c>
      <c r="E93" s="6">
        <v>20342.4</v>
      </c>
      <c r="F93" s="6">
        <v>37062.6</v>
      </c>
      <c r="G93" s="6">
        <v>36862.6</v>
      </c>
      <c r="H93" s="6">
        <v>7298.35</v>
      </c>
      <c r="I93" s="39">
        <f>(H93/G93)*100</f>
        <v>19.798793356952576</v>
      </c>
      <c r="J93" s="6">
        <v>8500</v>
      </c>
      <c r="K93" s="119">
        <f t="shared" si="13"/>
        <v>0.03191598348194808</v>
      </c>
      <c r="L93" s="29">
        <v>9000</v>
      </c>
      <c r="M93" s="77"/>
      <c r="N93" s="36">
        <f>(L93/J93)*100</f>
        <v>105.88235294117648</v>
      </c>
      <c r="O93" s="35">
        <f t="shared" si="14"/>
        <v>0.03628690679753832</v>
      </c>
      <c r="P93" s="90"/>
    </row>
    <row r="94" spans="1:16" ht="21">
      <c r="A94" s="153"/>
      <c r="B94" s="150"/>
      <c r="C94" s="4"/>
      <c r="D94" s="3" t="s">
        <v>319</v>
      </c>
      <c r="E94" s="5"/>
      <c r="F94" s="5">
        <v>29062.6</v>
      </c>
      <c r="G94" s="5">
        <v>29062.6</v>
      </c>
      <c r="H94" s="5"/>
      <c r="I94" s="39"/>
      <c r="J94" s="5">
        <v>5000</v>
      </c>
      <c r="K94" s="119">
        <f t="shared" si="13"/>
        <v>0.0187741079305577</v>
      </c>
      <c r="L94" s="41"/>
      <c r="M94" s="84"/>
      <c r="N94" s="38"/>
      <c r="O94" s="35">
        <f t="shared" si="14"/>
        <v>0</v>
      </c>
      <c r="P94" s="90">
        <v>29062.6</v>
      </c>
    </row>
    <row r="95" spans="1:16" ht="12.75">
      <c r="A95" s="153"/>
      <c r="B95" s="150"/>
      <c r="C95" s="4" t="s">
        <v>109</v>
      </c>
      <c r="D95" s="4" t="s">
        <v>75</v>
      </c>
      <c r="E95" s="6">
        <v>460.68</v>
      </c>
      <c r="F95" s="6">
        <v>1000</v>
      </c>
      <c r="G95" s="6">
        <v>1000</v>
      </c>
      <c r="H95" s="6">
        <v>494.83</v>
      </c>
      <c r="I95" s="39">
        <f aca="true" t="shared" si="21" ref="I95:I101">(H95/G95)*100</f>
        <v>49.483</v>
      </c>
      <c r="J95" s="6">
        <v>600</v>
      </c>
      <c r="K95" s="119">
        <f t="shared" si="13"/>
        <v>0.0022528929516669235</v>
      </c>
      <c r="L95" s="29">
        <v>1000</v>
      </c>
      <c r="M95" s="77"/>
      <c r="N95" s="36">
        <f>(L95/J95)*100</f>
        <v>166.66666666666669</v>
      </c>
      <c r="O95" s="35">
        <f t="shared" si="14"/>
        <v>0.0040318785330598125</v>
      </c>
      <c r="P95" s="90"/>
    </row>
    <row r="96" spans="1:16" ht="12.75">
      <c r="A96" s="153"/>
      <c r="B96" s="148"/>
      <c r="C96" s="4" t="s">
        <v>78</v>
      </c>
      <c r="D96" s="4" t="s">
        <v>316</v>
      </c>
      <c r="E96" s="6">
        <v>52928.38</v>
      </c>
      <c r="F96" s="6">
        <v>50500</v>
      </c>
      <c r="G96" s="6">
        <v>52352</v>
      </c>
      <c r="H96" s="6">
        <v>34659.07</v>
      </c>
      <c r="I96" s="39">
        <f t="shared" si="21"/>
        <v>66.2039081601467</v>
      </c>
      <c r="J96" s="6">
        <v>33000</v>
      </c>
      <c r="K96" s="119">
        <f t="shared" si="13"/>
        <v>0.1239091123416808</v>
      </c>
      <c r="L96" s="29">
        <v>36000</v>
      </c>
      <c r="M96" s="77"/>
      <c r="N96" s="36">
        <f>(L96/J96)*100</f>
        <v>109.09090909090908</v>
      </c>
      <c r="O96" s="35">
        <f t="shared" si="14"/>
        <v>0.14514762719015328</v>
      </c>
      <c r="P96" s="90"/>
    </row>
    <row r="97" spans="1:16" ht="12.75">
      <c r="A97" s="153"/>
      <c r="B97" s="148"/>
      <c r="C97" s="4" t="s">
        <v>110</v>
      </c>
      <c r="D97" s="4" t="s">
        <v>88</v>
      </c>
      <c r="E97" s="6">
        <v>2741</v>
      </c>
      <c r="F97" s="6">
        <v>3000</v>
      </c>
      <c r="G97" s="6">
        <v>3000</v>
      </c>
      <c r="H97" s="6">
        <v>2262.02</v>
      </c>
      <c r="I97" s="39">
        <f t="shared" si="21"/>
        <v>75.40066666666667</v>
      </c>
      <c r="J97" s="6">
        <v>2500</v>
      </c>
      <c r="K97" s="119">
        <f t="shared" si="13"/>
        <v>0.00938705396527885</v>
      </c>
      <c r="L97" s="29">
        <v>2500</v>
      </c>
      <c r="M97" s="77"/>
      <c r="N97" s="36">
        <f aca="true" t="shared" si="22" ref="N97:N111">(L97/J97)*100</f>
        <v>100</v>
      </c>
      <c r="O97" s="35">
        <f t="shared" si="14"/>
        <v>0.010079696332649534</v>
      </c>
      <c r="P97" s="90"/>
    </row>
    <row r="98" spans="1:16" ht="22.5">
      <c r="A98" s="153"/>
      <c r="B98" s="148"/>
      <c r="C98" s="4">
        <v>4520</v>
      </c>
      <c r="D98" s="4" t="s">
        <v>103</v>
      </c>
      <c r="E98" s="6">
        <v>411.43</v>
      </c>
      <c r="F98" s="6">
        <v>800</v>
      </c>
      <c r="G98" s="6">
        <v>500</v>
      </c>
      <c r="H98" s="6">
        <v>411.43</v>
      </c>
      <c r="I98" s="39">
        <f t="shared" si="21"/>
        <v>82.286</v>
      </c>
      <c r="J98" s="6">
        <v>500</v>
      </c>
      <c r="K98" s="119">
        <f t="shared" si="13"/>
        <v>0.0018774107930557696</v>
      </c>
      <c r="L98" s="29">
        <v>850</v>
      </c>
      <c r="M98" s="77"/>
      <c r="N98" s="36">
        <f t="shared" si="22"/>
        <v>170</v>
      </c>
      <c r="O98" s="35">
        <f t="shared" si="14"/>
        <v>0.003427096753100841</v>
      </c>
      <c r="P98" s="90"/>
    </row>
    <row r="99" spans="1:16" ht="12.75">
      <c r="A99" s="153"/>
      <c r="B99" s="148"/>
      <c r="C99" s="4">
        <v>4610</v>
      </c>
      <c r="D99" s="4" t="s">
        <v>221</v>
      </c>
      <c r="E99" s="6"/>
      <c r="F99" s="6"/>
      <c r="G99" s="6">
        <v>2000</v>
      </c>
      <c r="H99" s="6">
        <v>1647</v>
      </c>
      <c r="I99" s="39">
        <f t="shared" si="21"/>
        <v>82.35</v>
      </c>
      <c r="J99" s="6">
        <v>2000</v>
      </c>
      <c r="K99" s="119">
        <f t="shared" si="13"/>
        <v>0.0075096431722230786</v>
      </c>
      <c r="L99" s="29">
        <v>2000</v>
      </c>
      <c r="M99" s="77"/>
      <c r="N99" s="36">
        <f t="shared" si="22"/>
        <v>100</v>
      </c>
      <c r="O99" s="35">
        <f t="shared" si="14"/>
        <v>0.008063757066119625</v>
      </c>
      <c r="P99" s="90"/>
    </row>
    <row r="100" spans="1:16" ht="12.75">
      <c r="A100" s="153"/>
      <c r="B100" s="148"/>
      <c r="C100" s="162" t="s">
        <v>36</v>
      </c>
      <c r="D100" s="24" t="s">
        <v>47</v>
      </c>
      <c r="E100" s="53">
        <v>97004.67</v>
      </c>
      <c r="F100" s="53">
        <v>47329</v>
      </c>
      <c r="G100" s="53">
        <v>69329</v>
      </c>
      <c r="H100" s="53">
        <v>2268.09</v>
      </c>
      <c r="I100" s="39">
        <f t="shared" si="21"/>
        <v>3.2714881218537695</v>
      </c>
      <c r="J100" s="25">
        <f>J101</f>
        <v>5000</v>
      </c>
      <c r="K100" s="119">
        <f t="shared" si="13"/>
        <v>0.0187741079305577</v>
      </c>
      <c r="L100" s="25"/>
      <c r="M100" s="78"/>
      <c r="N100" s="36">
        <f t="shared" si="22"/>
        <v>0</v>
      </c>
      <c r="O100" s="35">
        <f t="shared" si="14"/>
        <v>0</v>
      </c>
      <c r="P100" s="90"/>
    </row>
    <row r="101" spans="1:16" ht="21">
      <c r="A101" s="153"/>
      <c r="B101" s="148"/>
      <c r="C101" s="151"/>
      <c r="D101" s="95" t="s">
        <v>319</v>
      </c>
      <c r="E101" s="87"/>
      <c r="F101" s="87">
        <v>35329</v>
      </c>
      <c r="G101" s="87"/>
      <c r="H101" s="87"/>
      <c r="I101" s="39" t="e">
        <f t="shared" si="21"/>
        <v>#DIV/0!</v>
      </c>
      <c r="J101" s="5">
        <v>5000</v>
      </c>
      <c r="K101" s="119">
        <f t="shared" si="13"/>
        <v>0.0187741079305577</v>
      </c>
      <c r="L101" s="5"/>
      <c r="M101" s="81"/>
      <c r="N101" s="36">
        <f t="shared" si="22"/>
        <v>0</v>
      </c>
      <c r="O101" s="35">
        <f t="shared" si="14"/>
        <v>0</v>
      </c>
      <c r="P101" s="90">
        <v>35329</v>
      </c>
    </row>
    <row r="102" spans="1:16" ht="12.75">
      <c r="A102" s="153"/>
      <c r="B102" s="148"/>
      <c r="C102" s="71">
        <v>6057</v>
      </c>
      <c r="D102" s="24" t="s">
        <v>38</v>
      </c>
      <c r="E102" s="87">
        <f aca="true" t="shared" si="23" ref="E102:M102">E103</f>
        <v>0</v>
      </c>
      <c r="F102" s="87">
        <f t="shared" si="23"/>
        <v>0</v>
      </c>
      <c r="G102" s="87">
        <f t="shared" si="23"/>
        <v>0</v>
      </c>
      <c r="H102" s="87">
        <f t="shared" si="23"/>
        <v>0</v>
      </c>
      <c r="I102" s="87">
        <f t="shared" si="23"/>
        <v>0</v>
      </c>
      <c r="J102" s="87">
        <f t="shared" si="23"/>
        <v>0</v>
      </c>
      <c r="K102" s="119">
        <f t="shared" si="13"/>
        <v>0</v>
      </c>
      <c r="L102" s="87">
        <f t="shared" si="23"/>
        <v>170322</v>
      </c>
      <c r="M102" s="81">
        <f t="shared" si="23"/>
        <v>0</v>
      </c>
      <c r="N102" s="36"/>
      <c r="O102" s="35">
        <f t="shared" si="14"/>
        <v>0.6867176155078134</v>
      </c>
      <c r="P102" s="90"/>
    </row>
    <row r="103" spans="1:16" ht="12.75">
      <c r="A103" s="153"/>
      <c r="B103" s="148"/>
      <c r="C103" s="71"/>
      <c r="D103" s="4" t="s">
        <v>331</v>
      </c>
      <c r="E103" s="34"/>
      <c r="F103" s="34"/>
      <c r="G103" s="34"/>
      <c r="H103" s="34"/>
      <c r="I103" s="39"/>
      <c r="J103" s="6"/>
      <c r="K103" s="119">
        <f t="shared" si="13"/>
        <v>0</v>
      </c>
      <c r="L103" s="6">
        <v>170322</v>
      </c>
      <c r="M103" s="60"/>
      <c r="N103" s="36"/>
      <c r="O103" s="35">
        <f t="shared" si="14"/>
        <v>0.6867176155078134</v>
      </c>
      <c r="P103" s="90"/>
    </row>
    <row r="104" spans="1:16" ht="12.75">
      <c r="A104" s="153"/>
      <c r="B104" s="148"/>
      <c r="C104" s="162">
        <v>6059</v>
      </c>
      <c r="D104" s="24" t="s">
        <v>38</v>
      </c>
      <c r="E104" s="25">
        <v>746.49</v>
      </c>
      <c r="F104" s="25"/>
      <c r="G104" s="25"/>
      <c r="H104" s="25"/>
      <c r="I104" s="39" t="e">
        <f aca="true" t="shared" si="24" ref="I104:I148">(H104/G104)*100</f>
        <v>#DIV/0!</v>
      </c>
      <c r="J104" s="25"/>
      <c r="K104" s="119">
        <f t="shared" si="13"/>
        <v>0</v>
      </c>
      <c r="L104" s="25">
        <f>L105</f>
        <v>109006.55</v>
      </c>
      <c r="M104" s="78">
        <f>M105</f>
        <v>0</v>
      </c>
      <c r="N104" s="36"/>
      <c r="O104" s="35">
        <f t="shared" si="14"/>
        <v>0.43950116890791113</v>
      </c>
      <c r="P104" s="90"/>
    </row>
    <row r="105" spans="1:16" ht="12.75">
      <c r="A105" s="153"/>
      <c r="B105" s="148"/>
      <c r="C105" s="149"/>
      <c r="D105" s="4" t="s">
        <v>331</v>
      </c>
      <c r="E105" s="6"/>
      <c r="F105" s="6"/>
      <c r="G105" s="6"/>
      <c r="H105" s="6"/>
      <c r="I105" s="39" t="e">
        <f t="shared" si="24"/>
        <v>#DIV/0!</v>
      </c>
      <c r="J105" s="6"/>
      <c r="K105" s="119">
        <f t="shared" si="13"/>
        <v>0</v>
      </c>
      <c r="L105" s="29">
        <v>109006.55</v>
      </c>
      <c r="M105" s="80"/>
      <c r="N105" s="36"/>
      <c r="O105" s="35">
        <f t="shared" si="14"/>
        <v>0.43950116890791113</v>
      </c>
      <c r="P105" s="90"/>
    </row>
    <row r="106" spans="1:16" ht="12.75">
      <c r="A106" s="153"/>
      <c r="B106" s="148"/>
      <c r="C106" s="162">
        <v>6060</v>
      </c>
      <c r="D106" s="24" t="s">
        <v>48</v>
      </c>
      <c r="E106" s="25">
        <v>2312.15</v>
      </c>
      <c r="F106" s="25"/>
      <c r="G106" s="25"/>
      <c r="H106" s="25"/>
      <c r="I106" s="39" t="e">
        <f t="shared" si="24"/>
        <v>#DIV/0!</v>
      </c>
      <c r="J106" s="25"/>
      <c r="K106" s="119">
        <f t="shared" si="13"/>
        <v>0</v>
      </c>
      <c r="L106" s="25">
        <f>L107</f>
        <v>5500</v>
      </c>
      <c r="M106" s="78">
        <f>M107</f>
        <v>0</v>
      </c>
      <c r="N106" s="36"/>
      <c r="O106" s="35">
        <f t="shared" si="14"/>
        <v>0.02217533193182897</v>
      </c>
      <c r="P106" s="90"/>
    </row>
    <row r="107" spans="1:16" ht="12.75">
      <c r="A107" s="153"/>
      <c r="B107" s="157"/>
      <c r="C107" s="169"/>
      <c r="D107" s="4" t="s">
        <v>285</v>
      </c>
      <c r="E107" s="25"/>
      <c r="F107" s="25"/>
      <c r="G107" s="6"/>
      <c r="H107" s="6"/>
      <c r="I107" s="39" t="e">
        <f t="shared" si="24"/>
        <v>#DIV/0!</v>
      </c>
      <c r="J107" s="6"/>
      <c r="K107" s="119">
        <f t="shared" si="13"/>
        <v>0</v>
      </c>
      <c r="L107" s="29">
        <v>5500</v>
      </c>
      <c r="M107" s="80"/>
      <c r="N107" s="36"/>
      <c r="O107" s="35">
        <f t="shared" si="14"/>
        <v>0.02217533193182897</v>
      </c>
      <c r="P107" s="90"/>
    </row>
    <row r="108" spans="1:16" ht="15.75" customHeight="1">
      <c r="A108" s="134" t="s">
        <v>114</v>
      </c>
      <c r="B108" s="4"/>
      <c r="C108" s="4"/>
      <c r="D108" s="3" t="s">
        <v>14</v>
      </c>
      <c r="E108" s="5">
        <f>E111+E113</f>
        <v>30697.36</v>
      </c>
      <c r="F108" s="5">
        <f>F111+F113</f>
        <v>35928</v>
      </c>
      <c r="G108" s="5">
        <f>G111+G113</f>
        <v>89428</v>
      </c>
      <c r="H108" s="5">
        <f>H111+H113</f>
        <v>28287.8</v>
      </c>
      <c r="I108" s="39">
        <f t="shared" si="24"/>
        <v>31.631927360558215</v>
      </c>
      <c r="J108" s="5">
        <f>J111+J113</f>
        <v>39000</v>
      </c>
      <c r="K108" s="120">
        <f t="shared" si="13"/>
        <v>0.14643804185835002</v>
      </c>
      <c r="L108" s="5">
        <f>L111+L113</f>
        <v>44000</v>
      </c>
      <c r="M108" s="45">
        <f>M111+M113</f>
        <v>0</v>
      </c>
      <c r="N108" s="38">
        <f t="shared" si="22"/>
        <v>112.82051282051282</v>
      </c>
      <c r="O108" s="67">
        <f t="shared" si="14"/>
        <v>0.17740265545463177</v>
      </c>
      <c r="P108" s="90"/>
    </row>
    <row r="109" spans="1:16" s="108" customFormat="1" ht="12.75">
      <c r="A109" s="134"/>
      <c r="B109" s="4"/>
      <c r="C109" s="4"/>
      <c r="D109" s="8" t="s">
        <v>230</v>
      </c>
      <c r="E109" s="6">
        <f>E112+E114+E115</f>
        <v>30697.36</v>
      </c>
      <c r="F109" s="6">
        <f>F112+F114+F115</f>
        <v>35928</v>
      </c>
      <c r="G109" s="6">
        <f>G112+G114+G115</f>
        <v>89428</v>
      </c>
      <c r="H109" s="6">
        <f>H112+H114+H115</f>
        <v>28287.8</v>
      </c>
      <c r="I109" s="39">
        <f t="shared" si="24"/>
        <v>31.631927360558215</v>
      </c>
      <c r="J109" s="6">
        <f>J112+J114+J115</f>
        <v>39000</v>
      </c>
      <c r="K109" s="119">
        <f t="shared" si="13"/>
        <v>0.14643804185835002</v>
      </c>
      <c r="L109" s="6">
        <f>L112+L114+L115</f>
        <v>44000</v>
      </c>
      <c r="M109" s="43">
        <f>M112+M114+M115</f>
        <v>0</v>
      </c>
      <c r="N109" s="36">
        <f t="shared" si="22"/>
        <v>112.82051282051282</v>
      </c>
      <c r="O109" s="35">
        <f t="shared" si="14"/>
        <v>0.17740265545463177</v>
      </c>
      <c r="P109" s="90"/>
    </row>
    <row r="110" spans="1:16" s="108" customFormat="1" ht="12.75">
      <c r="A110" s="134"/>
      <c r="B110" s="4"/>
      <c r="C110" s="4"/>
      <c r="D110" s="8" t="s">
        <v>231</v>
      </c>
      <c r="E110" s="6"/>
      <c r="F110" s="6"/>
      <c r="G110" s="6"/>
      <c r="H110" s="6"/>
      <c r="I110" s="39" t="e">
        <f t="shared" si="24"/>
        <v>#DIV/0!</v>
      </c>
      <c r="J110" s="6"/>
      <c r="K110" s="119">
        <f t="shared" si="13"/>
        <v>0</v>
      </c>
      <c r="L110" s="6"/>
      <c r="M110" s="43"/>
      <c r="N110" s="36"/>
      <c r="O110" s="35">
        <f t="shared" si="14"/>
        <v>0</v>
      </c>
      <c r="P110" s="90"/>
    </row>
    <row r="111" spans="1:16" ht="12" customHeight="1">
      <c r="A111" s="154"/>
      <c r="B111" s="147" t="s">
        <v>111</v>
      </c>
      <c r="C111" s="3"/>
      <c r="D111" s="3" t="s">
        <v>15</v>
      </c>
      <c r="E111" s="5">
        <f>E112</f>
        <v>27797.36</v>
      </c>
      <c r="F111" s="5">
        <f>F112</f>
        <v>35428</v>
      </c>
      <c r="G111" s="5">
        <f>G112</f>
        <v>85428</v>
      </c>
      <c r="H111" s="5">
        <f>H112</f>
        <v>27675</v>
      </c>
      <c r="I111" s="39">
        <f t="shared" si="24"/>
        <v>32.395701643489254</v>
      </c>
      <c r="J111" s="5">
        <f>J112</f>
        <v>35000</v>
      </c>
      <c r="K111" s="120">
        <f t="shared" si="13"/>
        <v>0.1314187555139039</v>
      </c>
      <c r="L111" s="5">
        <f>L112</f>
        <v>40000</v>
      </c>
      <c r="M111" s="45">
        <f>M112</f>
        <v>0</v>
      </c>
      <c r="N111" s="38">
        <f t="shared" si="22"/>
        <v>114.28571428571428</v>
      </c>
      <c r="O111" s="67">
        <f t="shared" si="14"/>
        <v>0.16127514132239254</v>
      </c>
      <c r="P111" s="90"/>
    </row>
    <row r="112" spans="1:16" ht="12.75">
      <c r="A112" s="154"/>
      <c r="B112" s="157"/>
      <c r="C112" s="4" t="s">
        <v>78</v>
      </c>
      <c r="D112" s="4" t="s">
        <v>112</v>
      </c>
      <c r="E112" s="6">
        <v>27797.36</v>
      </c>
      <c r="F112" s="6">
        <v>35428</v>
      </c>
      <c r="G112" s="6">
        <v>85428</v>
      </c>
      <c r="H112" s="6">
        <v>27675</v>
      </c>
      <c r="I112" s="39">
        <f t="shared" si="24"/>
        <v>32.395701643489254</v>
      </c>
      <c r="J112" s="6">
        <v>35000</v>
      </c>
      <c r="K112" s="119">
        <f t="shared" si="13"/>
        <v>0.1314187555139039</v>
      </c>
      <c r="L112" s="29">
        <v>40000</v>
      </c>
      <c r="M112" s="80"/>
      <c r="N112" s="36">
        <f>(L108/J108)*100</f>
        <v>112.82051282051282</v>
      </c>
      <c r="O112" s="35">
        <f t="shared" si="14"/>
        <v>0.16127514132239254</v>
      </c>
      <c r="P112" s="90"/>
    </row>
    <row r="113" spans="1:16" ht="15" customHeight="1">
      <c r="A113" s="154"/>
      <c r="B113" s="155" t="s">
        <v>16</v>
      </c>
      <c r="C113" s="4"/>
      <c r="D113" s="3" t="s">
        <v>113</v>
      </c>
      <c r="E113" s="5">
        <f>E114+E115</f>
        <v>2900</v>
      </c>
      <c r="F113" s="5">
        <f>F114+F115</f>
        <v>500</v>
      </c>
      <c r="G113" s="5">
        <f>G114+G115</f>
        <v>4000</v>
      </c>
      <c r="H113" s="5">
        <f>H114+H115</f>
        <v>612.8</v>
      </c>
      <c r="I113" s="39">
        <f t="shared" si="24"/>
        <v>15.319999999999997</v>
      </c>
      <c r="J113" s="5">
        <f>J114+J115</f>
        <v>4000</v>
      </c>
      <c r="K113" s="120">
        <f t="shared" si="13"/>
        <v>0.015019286344446157</v>
      </c>
      <c r="L113" s="5">
        <f>L114+L115</f>
        <v>4000</v>
      </c>
      <c r="M113" s="45">
        <f>M114+M115</f>
        <v>0</v>
      </c>
      <c r="N113" s="38">
        <f>(L113/J113)*100</f>
        <v>100</v>
      </c>
      <c r="O113" s="67">
        <f t="shared" si="14"/>
        <v>0.01612751413223925</v>
      </c>
      <c r="P113" s="90"/>
    </row>
    <row r="114" spans="1:16" ht="12" customHeight="1">
      <c r="A114" s="154"/>
      <c r="B114" s="156"/>
      <c r="C114" s="4" t="s">
        <v>101</v>
      </c>
      <c r="D114" s="4" t="s">
        <v>74</v>
      </c>
      <c r="E114" s="6">
        <v>59.8</v>
      </c>
      <c r="F114" s="6">
        <v>200</v>
      </c>
      <c r="G114" s="6">
        <v>1200</v>
      </c>
      <c r="H114" s="6"/>
      <c r="I114" s="39">
        <f t="shared" si="24"/>
        <v>0</v>
      </c>
      <c r="J114" s="6">
        <v>1200</v>
      </c>
      <c r="K114" s="119">
        <f t="shared" si="13"/>
        <v>0.004505785903333847</v>
      </c>
      <c r="L114" s="29">
        <v>1200</v>
      </c>
      <c r="M114" s="80"/>
      <c r="N114" s="36">
        <f>(L114/J114)*100</f>
        <v>100</v>
      </c>
      <c r="O114" s="35">
        <f t="shared" si="14"/>
        <v>0.004838254239671776</v>
      </c>
      <c r="P114" s="90"/>
    </row>
    <row r="115" spans="1:16" ht="12.75">
      <c r="A115" s="154"/>
      <c r="B115" s="156"/>
      <c r="C115" s="4" t="s">
        <v>78</v>
      </c>
      <c r="D115" s="4" t="s">
        <v>87</v>
      </c>
      <c r="E115" s="6">
        <v>2840.2</v>
      </c>
      <c r="F115" s="6">
        <v>300</v>
      </c>
      <c r="G115" s="6">
        <v>2800</v>
      </c>
      <c r="H115" s="6">
        <v>612.8</v>
      </c>
      <c r="I115" s="39">
        <f t="shared" si="24"/>
        <v>21.885714285714283</v>
      </c>
      <c r="J115" s="6">
        <v>2800</v>
      </c>
      <c r="K115" s="119">
        <f t="shared" si="13"/>
        <v>0.01051350044111231</v>
      </c>
      <c r="L115" s="29">
        <v>2800</v>
      </c>
      <c r="M115" s="80"/>
      <c r="N115" s="36">
        <f>(L115/J115)*100</f>
        <v>100</v>
      </c>
      <c r="O115" s="35">
        <f t="shared" si="14"/>
        <v>0.011289259892567476</v>
      </c>
      <c r="P115" s="90"/>
    </row>
    <row r="116" spans="1:16" ht="16.5" customHeight="1">
      <c r="A116" s="143" t="s">
        <v>49</v>
      </c>
      <c r="B116" s="4"/>
      <c r="C116" s="4"/>
      <c r="D116" s="3" t="s">
        <v>17</v>
      </c>
      <c r="E116" s="5" t="e">
        <f>E122+E149+E156+E184+#REF!</f>
        <v>#REF!</v>
      </c>
      <c r="F116" s="5" t="e">
        <f>F122+F149+F156+F184+#REF!</f>
        <v>#REF!</v>
      </c>
      <c r="G116" s="5" t="e">
        <f>G122+G149+G156+G184+#REF!</f>
        <v>#REF!</v>
      </c>
      <c r="H116" s="5" t="e">
        <f>H122+H149+H156+H184+#REF!</f>
        <v>#REF!</v>
      </c>
      <c r="I116" s="39" t="e">
        <f t="shared" si="24"/>
        <v>#REF!</v>
      </c>
      <c r="J116" s="5">
        <f>J122+J149+J156+J184</f>
        <v>2403546.3</v>
      </c>
      <c r="K116" s="120">
        <f t="shared" si="13"/>
        <v>9.024887530458521</v>
      </c>
      <c r="L116" s="5">
        <f>L122+L149+L156+L184</f>
        <v>2608133.47</v>
      </c>
      <c r="M116" s="45" t="e">
        <f>M122+M149+M156+M184+#REF!</f>
        <v>#REF!</v>
      </c>
      <c r="N116" s="38">
        <f>(L116/J116)*100</f>
        <v>108.51188803810439</v>
      </c>
      <c r="O116" s="67">
        <f t="shared" si="14"/>
        <v>10.5156773490478</v>
      </c>
      <c r="P116" s="90"/>
    </row>
    <row r="117" spans="1:16" s="108" customFormat="1" ht="12.75">
      <c r="A117" s="144"/>
      <c r="B117" s="4"/>
      <c r="C117" s="4"/>
      <c r="D117" s="8" t="s">
        <v>230</v>
      </c>
      <c r="E117" s="6" t="e">
        <f>E116-E119</f>
        <v>#REF!</v>
      </c>
      <c r="F117" s="6" t="e">
        <f>F116-F119</f>
        <v>#REF!</v>
      </c>
      <c r="G117" s="6" t="e">
        <f>G116-G119</f>
        <v>#REF!</v>
      </c>
      <c r="H117" s="6" t="e">
        <f>H116-H119</f>
        <v>#REF!</v>
      </c>
      <c r="I117" s="39" t="e">
        <f t="shared" si="24"/>
        <v>#REF!</v>
      </c>
      <c r="J117" s="6">
        <f>J116-J119</f>
        <v>2401046.3</v>
      </c>
      <c r="K117" s="119">
        <f t="shared" si="13"/>
        <v>9.015500476493242</v>
      </c>
      <c r="L117" s="6">
        <f>L116-L119</f>
        <v>2598133.47</v>
      </c>
      <c r="M117" s="43" t="e">
        <f>M116-M119</f>
        <v>#REF!</v>
      </c>
      <c r="N117" s="36">
        <f>(L117/J117)*100</f>
        <v>108.20838690199352</v>
      </c>
      <c r="O117" s="35">
        <f t="shared" si="14"/>
        <v>10.475358563717203</v>
      </c>
      <c r="P117" s="90"/>
    </row>
    <row r="118" spans="1:16" s="108" customFormat="1" ht="12.75">
      <c r="A118" s="144"/>
      <c r="B118" s="4"/>
      <c r="C118" s="4"/>
      <c r="D118" s="8" t="s">
        <v>345</v>
      </c>
      <c r="E118" s="6">
        <f>E194+E195+E198+E199+E202+E203</f>
        <v>0</v>
      </c>
      <c r="F118" s="6">
        <f>F194+F195+F198+F199+F202+F203</f>
        <v>0</v>
      </c>
      <c r="G118" s="6">
        <f>G194+G195+G198+G199+G202+G203</f>
        <v>28932.3</v>
      </c>
      <c r="H118" s="6">
        <f>H194+H195+H198+H199+H202+H203</f>
        <v>21519.79</v>
      </c>
      <c r="I118" s="39">
        <f t="shared" si="24"/>
        <v>74.37981079969447</v>
      </c>
      <c r="J118" s="6">
        <f>J194+J195+J198+J199+J202+J203</f>
        <v>28924.95</v>
      </c>
      <c r="K118" s="119">
        <f t="shared" si="13"/>
        <v>0.10860802663719697</v>
      </c>
      <c r="L118" s="6">
        <f>L194+L195+L198+L199+L202+L203</f>
        <v>0</v>
      </c>
      <c r="M118" s="43"/>
      <c r="N118" s="36"/>
      <c r="O118" s="35">
        <f t="shared" si="14"/>
        <v>0</v>
      </c>
      <c r="P118" s="90"/>
    </row>
    <row r="119" spans="1:16" s="108" customFormat="1" ht="12.75">
      <c r="A119" s="144"/>
      <c r="B119" s="4"/>
      <c r="C119" s="4"/>
      <c r="D119" s="8" t="s">
        <v>231</v>
      </c>
      <c r="E119" s="6">
        <f>E125+E158</f>
        <v>5110</v>
      </c>
      <c r="F119" s="6">
        <f>F125+F158</f>
        <v>12720</v>
      </c>
      <c r="G119" s="6">
        <f>G125+G158</f>
        <v>12720</v>
      </c>
      <c r="H119" s="6">
        <f>H125+H158</f>
        <v>1586.7</v>
      </c>
      <c r="I119" s="39">
        <f t="shared" si="24"/>
        <v>12.474056603773585</v>
      </c>
      <c r="J119" s="6">
        <f>J125+J158</f>
        <v>2500</v>
      </c>
      <c r="K119" s="119">
        <f t="shared" si="13"/>
        <v>0.00938705396527885</v>
      </c>
      <c r="L119" s="6">
        <f>L125+L158</f>
        <v>10000</v>
      </c>
      <c r="M119" s="43">
        <f>M125+M158</f>
        <v>0</v>
      </c>
      <c r="N119" s="36">
        <f>(L119/J119)*100</f>
        <v>400</v>
      </c>
      <c r="O119" s="35">
        <f t="shared" si="14"/>
        <v>0.040318785330598135</v>
      </c>
      <c r="P119" s="90"/>
    </row>
    <row r="120" spans="1:16" s="108" customFormat="1" ht="12.75">
      <c r="A120" s="144"/>
      <c r="B120" s="4"/>
      <c r="C120" s="4"/>
      <c r="D120" s="23" t="s">
        <v>349</v>
      </c>
      <c r="E120" s="27" t="e">
        <f>E117+E119</f>
        <v>#REF!</v>
      </c>
      <c r="F120" s="27" t="e">
        <f>F117+F119</f>
        <v>#REF!</v>
      </c>
      <c r="G120" s="27" t="e">
        <f>G117+G119</f>
        <v>#REF!</v>
      </c>
      <c r="H120" s="27" t="e">
        <f>H117+H119</f>
        <v>#REF!</v>
      </c>
      <c r="I120" s="39" t="e">
        <f t="shared" si="24"/>
        <v>#REF!</v>
      </c>
      <c r="J120" s="27">
        <f>J117+J119</f>
        <v>2403546.3</v>
      </c>
      <c r="K120" s="119">
        <f t="shared" si="13"/>
        <v>9.024887530458521</v>
      </c>
      <c r="L120" s="27">
        <f>L117+L119</f>
        <v>2608133.47</v>
      </c>
      <c r="M120" s="31" t="e">
        <f>M117+M119</f>
        <v>#REF!</v>
      </c>
      <c r="N120" s="36"/>
      <c r="O120" s="35">
        <f t="shared" si="14"/>
        <v>10.5156773490478</v>
      </c>
      <c r="P120" s="90"/>
    </row>
    <row r="121" spans="1:16" s="108" customFormat="1" ht="12.75">
      <c r="A121" s="144"/>
      <c r="B121" s="4"/>
      <c r="C121" s="4"/>
      <c r="D121" s="8" t="s">
        <v>238</v>
      </c>
      <c r="E121" s="6">
        <f>E185</f>
        <v>0</v>
      </c>
      <c r="F121" s="6">
        <f>F185</f>
        <v>0</v>
      </c>
      <c r="G121" s="6">
        <f>G185</f>
        <v>0</v>
      </c>
      <c r="H121" s="6">
        <f>H185</f>
        <v>0</v>
      </c>
      <c r="I121" s="39" t="e">
        <f t="shared" si="24"/>
        <v>#DIV/0!</v>
      </c>
      <c r="J121" s="6">
        <f>J185</f>
        <v>0</v>
      </c>
      <c r="K121" s="119">
        <f t="shared" si="13"/>
        <v>0</v>
      </c>
      <c r="L121" s="6">
        <f>L185</f>
        <v>0</v>
      </c>
      <c r="M121" s="43">
        <f>M185</f>
        <v>0</v>
      </c>
      <c r="N121" s="36"/>
      <c r="O121" s="35">
        <f t="shared" si="14"/>
        <v>0</v>
      </c>
      <c r="P121" s="90"/>
    </row>
    <row r="122" spans="1:16" ht="12.75">
      <c r="A122" s="145"/>
      <c r="B122" s="155" t="s">
        <v>50</v>
      </c>
      <c r="C122" s="3"/>
      <c r="D122" s="3" t="s">
        <v>51</v>
      </c>
      <c r="E122" s="5">
        <f>E126+E129+E132+E135+E138+E140+E143+E146</f>
        <v>130789.33000000002</v>
      </c>
      <c r="F122" s="5">
        <f>F126+F129+F132+F135+F138+F140+F143+F146</f>
        <v>132166.7</v>
      </c>
      <c r="G122" s="5">
        <f>G126+G129+G132+G135+G138+G140+G143+G146</f>
        <v>135427.47</v>
      </c>
      <c r="H122" s="5">
        <f>H126+H129+H132+H135+H138+H140+H143+H146</f>
        <v>96896.7</v>
      </c>
      <c r="I122" s="39">
        <f t="shared" si="24"/>
        <v>71.54877810240419</v>
      </c>
      <c r="J122" s="5">
        <f>J126+J129+J132+J135+J138+J140+J143+J146</f>
        <v>134488.01</v>
      </c>
      <c r="K122" s="120">
        <f t="shared" si="13"/>
        <v>0.5049784830211846</v>
      </c>
      <c r="L122" s="5">
        <f>L126+L129+L132+L135+L138+L140+L143+L146</f>
        <v>139411.16</v>
      </c>
      <c r="M122" s="45">
        <f>M126+M129+M132+M135+M138+M140+M143+M146</f>
        <v>0</v>
      </c>
      <c r="N122" s="38">
        <f>(L122/J122)*100</f>
        <v>103.66066090203879</v>
      </c>
      <c r="O122" s="67">
        <f t="shared" si="14"/>
        <v>0.5620888632729669</v>
      </c>
      <c r="P122" s="90"/>
    </row>
    <row r="123" spans="1:16" ht="12.75">
      <c r="A123" s="145"/>
      <c r="B123" s="156"/>
      <c r="C123" s="8"/>
      <c r="D123" s="8" t="s">
        <v>115</v>
      </c>
      <c r="E123" s="6">
        <f>E128+E131+E134+E137+E148+E142+E145</f>
        <v>0</v>
      </c>
      <c r="F123" s="6">
        <f>F128+F131+F134+F137+F148+F142+F145</f>
        <v>52911</v>
      </c>
      <c r="G123" s="6">
        <f>G128+G131+G134+G137+G148+G142+G145</f>
        <v>0</v>
      </c>
      <c r="H123" s="6">
        <f>H128+H131+H134+H137+H148+H142+H145</f>
        <v>0</v>
      </c>
      <c r="I123" s="39" t="e">
        <f t="shared" si="24"/>
        <v>#DIV/0!</v>
      </c>
      <c r="J123" s="6">
        <f>J128+J131+J134+J137+J148</f>
        <v>0</v>
      </c>
      <c r="K123" s="119">
        <f t="shared" si="13"/>
        <v>0</v>
      </c>
      <c r="L123" s="6">
        <f>L128+L131+L134+L137+L148+L145+L142</f>
        <v>50476</v>
      </c>
      <c r="M123" s="60"/>
      <c r="N123" s="36"/>
      <c r="O123" s="35">
        <f t="shared" si="14"/>
        <v>0.20351310083472712</v>
      </c>
      <c r="P123" s="90"/>
    </row>
    <row r="124" spans="1:16" ht="12.75">
      <c r="A124" s="145"/>
      <c r="B124" s="156"/>
      <c r="C124" s="8"/>
      <c r="D124" s="8" t="s">
        <v>116</v>
      </c>
      <c r="E124" s="6">
        <f>E127+E130+E133+E136+E139+E141+E144+E147</f>
        <v>0</v>
      </c>
      <c r="F124" s="6">
        <f>F127+F130+F133+F136+F139+F141+F144+F147</f>
        <v>79255.7</v>
      </c>
      <c r="G124" s="6">
        <f>G127+G130+G133+G136+G139+G141+G144+G147</f>
        <v>0</v>
      </c>
      <c r="H124" s="6">
        <f>H127+H130+H133+H136+H139+H141+H144+H147</f>
        <v>0</v>
      </c>
      <c r="I124" s="39" t="e">
        <f t="shared" si="24"/>
        <v>#DIV/0!</v>
      </c>
      <c r="J124" s="6">
        <f>J127+J130+J133+J136+J139+J141+J144+J147</f>
        <v>0</v>
      </c>
      <c r="K124" s="119">
        <f t="shared" si="13"/>
        <v>0</v>
      </c>
      <c r="L124" s="6">
        <f>L127+L130+L133+L136+L139+L141+L144+L147</f>
        <v>88935.16</v>
      </c>
      <c r="M124" s="43"/>
      <c r="N124" s="36"/>
      <c r="O124" s="35">
        <f t="shared" si="14"/>
        <v>0.3585757624382398</v>
      </c>
      <c r="P124" s="90"/>
    </row>
    <row r="125" spans="1:16" ht="12.75">
      <c r="A125" s="145"/>
      <c r="B125" s="156"/>
      <c r="C125" s="8"/>
      <c r="D125" s="8" t="s">
        <v>231</v>
      </c>
      <c r="E125" s="6"/>
      <c r="F125" s="6"/>
      <c r="G125" s="6"/>
      <c r="H125" s="6"/>
      <c r="I125" s="39" t="e">
        <f t="shared" si="24"/>
        <v>#DIV/0!</v>
      </c>
      <c r="J125" s="6"/>
      <c r="K125" s="119">
        <f t="shared" si="13"/>
        <v>0</v>
      </c>
      <c r="L125" s="6"/>
      <c r="M125" s="60"/>
      <c r="N125" s="36"/>
      <c r="O125" s="35">
        <f t="shared" si="14"/>
        <v>0</v>
      </c>
      <c r="P125" s="90"/>
    </row>
    <row r="126" spans="1:16" ht="12.75">
      <c r="A126" s="145"/>
      <c r="B126" s="156"/>
      <c r="C126" s="24">
        <v>4010</v>
      </c>
      <c r="D126" s="8"/>
      <c r="E126" s="6">
        <v>94442.31</v>
      </c>
      <c r="F126" s="6">
        <f>F127+F128</f>
        <v>94684.45999999999</v>
      </c>
      <c r="G126" s="6">
        <v>94544.46</v>
      </c>
      <c r="H126" s="6">
        <v>68417.75</v>
      </c>
      <c r="I126" s="39">
        <f t="shared" si="24"/>
        <v>72.36568911599896</v>
      </c>
      <c r="J126" s="6">
        <v>94544.46</v>
      </c>
      <c r="K126" s="119">
        <f t="shared" si="13"/>
        <v>0.354997579255259</v>
      </c>
      <c r="L126" s="6">
        <f>L127+L128</f>
        <v>96720.70999999999</v>
      </c>
      <c r="M126" s="43">
        <f>M127+M128</f>
        <v>0</v>
      </c>
      <c r="N126" s="36">
        <f>(L126/J126)*100</f>
        <v>102.30182709806581</v>
      </c>
      <c r="O126" s="35">
        <f t="shared" si="14"/>
        <v>0.38996615435130355</v>
      </c>
      <c r="P126" s="90"/>
    </row>
    <row r="127" spans="1:16" ht="22.5">
      <c r="A127" s="145"/>
      <c r="B127" s="156"/>
      <c r="C127" s="4" t="s">
        <v>242</v>
      </c>
      <c r="D127" s="4" t="s">
        <v>95</v>
      </c>
      <c r="E127" s="6"/>
      <c r="F127" s="6">
        <v>49779.94</v>
      </c>
      <c r="G127" s="6"/>
      <c r="H127" s="6"/>
      <c r="I127" s="39" t="e">
        <f t="shared" si="24"/>
        <v>#DIV/0!</v>
      </c>
      <c r="J127" s="6"/>
      <c r="K127" s="119">
        <f t="shared" si="13"/>
        <v>0</v>
      </c>
      <c r="L127" s="29">
        <v>54629.32</v>
      </c>
      <c r="M127" s="80"/>
      <c r="N127" s="36"/>
      <c r="O127" s="35">
        <f t="shared" si="14"/>
        <v>0.22025878258365514</v>
      </c>
      <c r="P127" s="90"/>
    </row>
    <row r="128" spans="1:16" ht="12.75">
      <c r="A128" s="145"/>
      <c r="B128" s="156"/>
      <c r="C128" s="4" t="s">
        <v>239</v>
      </c>
      <c r="D128" s="4" t="s">
        <v>95</v>
      </c>
      <c r="E128" s="6"/>
      <c r="F128" s="6">
        <v>44904.52</v>
      </c>
      <c r="G128" s="6"/>
      <c r="H128" s="6"/>
      <c r="I128" s="39" t="e">
        <f t="shared" si="24"/>
        <v>#DIV/0!</v>
      </c>
      <c r="J128" s="6"/>
      <c r="K128" s="119">
        <f t="shared" si="13"/>
        <v>0</v>
      </c>
      <c r="L128" s="29">
        <v>42091.39</v>
      </c>
      <c r="M128" s="80"/>
      <c r="N128" s="36"/>
      <c r="O128" s="35">
        <f t="shared" si="14"/>
        <v>0.16970737176764847</v>
      </c>
      <c r="P128" s="90"/>
    </row>
    <row r="129" spans="1:16" ht="12.75">
      <c r="A129" s="145"/>
      <c r="B129" s="156"/>
      <c r="C129" s="24">
        <v>4040</v>
      </c>
      <c r="D129" s="4"/>
      <c r="E129" s="6">
        <v>7135.71</v>
      </c>
      <c r="F129" s="6">
        <f>F130+F131</f>
        <v>7600</v>
      </c>
      <c r="G129" s="6">
        <v>7600</v>
      </c>
      <c r="H129" s="6">
        <v>6660.54</v>
      </c>
      <c r="I129" s="39">
        <f t="shared" si="24"/>
        <v>87.63868421052632</v>
      </c>
      <c r="J129" s="6">
        <v>6660.54</v>
      </c>
      <c r="K129" s="119">
        <f t="shared" si="13"/>
        <v>0.02500913936715935</v>
      </c>
      <c r="L129" s="6">
        <f>L130+L131</f>
        <v>7900</v>
      </c>
      <c r="M129" s="60"/>
      <c r="N129" s="36">
        <f>(L129/J129)*100</f>
        <v>118.60900167253708</v>
      </c>
      <c r="O129" s="35">
        <f t="shared" si="14"/>
        <v>0.03185184041117252</v>
      </c>
      <c r="P129" s="90"/>
    </row>
    <row r="130" spans="1:16" ht="22.5">
      <c r="A130" s="145"/>
      <c r="B130" s="156"/>
      <c r="C130" s="4" t="s">
        <v>259</v>
      </c>
      <c r="D130" s="4" t="s">
        <v>97</v>
      </c>
      <c r="E130" s="6"/>
      <c r="F130" s="6">
        <v>7600</v>
      </c>
      <c r="G130" s="6"/>
      <c r="H130" s="6"/>
      <c r="I130" s="39" t="e">
        <f t="shared" si="24"/>
        <v>#DIV/0!</v>
      </c>
      <c r="J130" s="6"/>
      <c r="K130" s="119">
        <f t="shared" si="13"/>
        <v>0</v>
      </c>
      <c r="L130" s="29">
        <v>7900</v>
      </c>
      <c r="M130" s="80"/>
      <c r="N130" s="36"/>
      <c r="O130" s="35">
        <f t="shared" si="14"/>
        <v>0.03185184041117252</v>
      </c>
      <c r="P130" s="90"/>
    </row>
    <row r="131" spans="1:16" ht="12.75">
      <c r="A131" s="145"/>
      <c r="B131" s="156"/>
      <c r="C131" s="4" t="s">
        <v>258</v>
      </c>
      <c r="D131" s="4" t="s">
        <v>97</v>
      </c>
      <c r="E131" s="6"/>
      <c r="F131" s="6"/>
      <c r="G131" s="6"/>
      <c r="H131" s="6"/>
      <c r="I131" s="39" t="e">
        <f t="shared" si="24"/>
        <v>#DIV/0!</v>
      </c>
      <c r="J131" s="6"/>
      <c r="K131" s="119">
        <f t="shared" si="13"/>
        <v>0</v>
      </c>
      <c r="L131" s="29"/>
      <c r="M131" s="80"/>
      <c r="N131" s="36"/>
      <c r="O131" s="35">
        <f t="shared" si="14"/>
        <v>0</v>
      </c>
      <c r="P131" s="90"/>
    </row>
    <row r="132" spans="1:16" ht="12.75">
      <c r="A132" s="145"/>
      <c r="B132" s="156"/>
      <c r="C132" s="24">
        <v>4110</v>
      </c>
      <c r="D132" s="4"/>
      <c r="E132" s="6">
        <v>15108.5</v>
      </c>
      <c r="F132" s="6">
        <f>F133+F134</f>
        <v>14562.47</v>
      </c>
      <c r="G132" s="6">
        <v>17777.04</v>
      </c>
      <c r="H132" s="6">
        <v>11814.58</v>
      </c>
      <c r="I132" s="39">
        <f t="shared" si="24"/>
        <v>66.45977058047909</v>
      </c>
      <c r="J132" s="6">
        <v>17777.04</v>
      </c>
      <c r="K132" s="119">
        <f t="shared" si="13"/>
        <v>0.06674961352916828</v>
      </c>
      <c r="L132" s="6">
        <f>L133+L134</f>
        <v>18277.24</v>
      </c>
      <c r="M132" s="43">
        <f>M133+M134</f>
        <v>0</v>
      </c>
      <c r="N132" s="36">
        <f>(L132/J132)*100</f>
        <v>102.81374177028346</v>
      </c>
      <c r="O132" s="35">
        <f t="shared" si="14"/>
        <v>0.07369161159958215</v>
      </c>
      <c r="P132" s="90"/>
    </row>
    <row r="133" spans="1:16" ht="22.5">
      <c r="A133" s="145"/>
      <c r="B133" s="156"/>
      <c r="C133" s="4" t="s">
        <v>243</v>
      </c>
      <c r="D133" s="4" t="s">
        <v>117</v>
      </c>
      <c r="E133" s="6"/>
      <c r="F133" s="6">
        <v>7656.15</v>
      </c>
      <c r="G133" s="6"/>
      <c r="H133" s="6"/>
      <c r="I133" s="39" t="e">
        <f t="shared" si="24"/>
        <v>#DIV/0!</v>
      </c>
      <c r="J133" s="6"/>
      <c r="K133" s="119">
        <f aca="true" t="shared" si="25" ref="K133:K196">(J133/$J$769)*100</f>
        <v>0</v>
      </c>
      <c r="L133" s="29">
        <v>10923.87</v>
      </c>
      <c r="M133" s="80"/>
      <c r="N133" s="36"/>
      <c r="O133" s="35">
        <f aca="true" t="shared" si="26" ref="O133:O196">L133/$L$769*100</f>
        <v>0.044043716950936104</v>
      </c>
      <c r="P133" s="90"/>
    </row>
    <row r="134" spans="1:16" ht="12.75">
      <c r="A134" s="145"/>
      <c r="B134" s="156"/>
      <c r="C134" s="4" t="s">
        <v>240</v>
      </c>
      <c r="D134" s="4" t="s">
        <v>117</v>
      </c>
      <c r="E134" s="6"/>
      <c r="F134" s="6">
        <v>6906.32</v>
      </c>
      <c r="G134" s="6"/>
      <c r="H134" s="6"/>
      <c r="I134" s="39" t="e">
        <f t="shared" si="24"/>
        <v>#DIV/0!</v>
      </c>
      <c r="J134" s="6"/>
      <c r="K134" s="119">
        <f t="shared" si="25"/>
        <v>0</v>
      </c>
      <c r="L134" s="29">
        <v>7353.37</v>
      </c>
      <c r="M134" s="80"/>
      <c r="N134" s="36"/>
      <c r="O134" s="35">
        <f t="shared" si="26"/>
        <v>0.029647894648646037</v>
      </c>
      <c r="P134" s="90"/>
    </row>
    <row r="135" spans="1:16" ht="12.75">
      <c r="A135" s="145"/>
      <c r="B135" s="156"/>
      <c r="C135" s="24">
        <v>4120</v>
      </c>
      <c r="D135" s="4"/>
      <c r="E135" s="6">
        <v>2181.05</v>
      </c>
      <c r="F135" s="6">
        <f>F136+F137</f>
        <v>2319.77</v>
      </c>
      <c r="G135" s="6">
        <v>2505.97</v>
      </c>
      <c r="H135" s="6">
        <v>1168.96</v>
      </c>
      <c r="I135" s="39">
        <f t="shared" si="24"/>
        <v>46.647006947409594</v>
      </c>
      <c r="J135" s="6">
        <v>2505.97</v>
      </c>
      <c r="K135" s="119">
        <f t="shared" si="25"/>
        <v>0.009409470250147933</v>
      </c>
      <c r="L135" s="6">
        <f>L136+L137</f>
        <v>2563.21</v>
      </c>
      <c r="M135" s="43"/>
      <c r="N135" s="36">
        <f>(L135/J135)*100</f>
        <v>102.28414546063999</v>
      </c>
      <c r="O135" s="35">
        <f t="shared" si="26"/>
        <v>0.010334551374724244</v>
      </c>
      <c r="P135" s="90"/>
    </row>
    <row r="136" spans="1:16" ht="22.5">
      <c r="A136" s="145"/>
      <c r="B136" s="156"/>
      <c r="C136" s="4" t="s">
        <v>244</v>
      </c>
      <c r="D136" s="4" t="s">
        <v>106</v>
      </c>
      <c r="E136" s="6"/>
      <c r="F136" s="6">
        <v>1219.61</v>
      </c>
      <c r="G136" s="6"/>
      <c r="H136" s="6"/>
      <c r="I136" s="39" t="e">
        <f t="shared" si="24"/>
        <v>#DIV/0!</v>
      </c>
      <c r="J136" s="6"/>
      <c r="K136" s="119">
        <f t="shared" si="25"/>
        <v>0</v>
      </c>
      <c r="L136" s="29">
        <v>1531.97</v>
      </c>
      <c r="M136" s="80"/>
      <c r="N136" s="36"/>
      <c r="O136" s="35">
        <f t="shared" si="26"/>
        <v>0.006176716956291642</v>
      </c>
      <c r="P136" s="90"/>
    </row>
    <row r="137" spans="1:16" ht="12.75">
      <c r="A137" s="145"/>
      <c r="B137" s="156"/>
      <c r="C137" s="4" t="s">
        <v>241</v>
      </c>
      <c r="D137" s="4" t="s">
        <v>106</v>
      </c>
      <c r="E137" s="6"/>
      <c r="F137" s="6">
        <v>1100.16</v>
      </c>
      <c r="G137" s="6"/>
      <c r="H137" s="6"/>
      <c r="I137" s="39" t="e">
        <f t="shared" si="24"/>
        <v>#DIV/0!</v>
      </c>
      <c r="J137" s="6"/>
      <c r="K137" s="119">
        <f t="shared" si="25"/>
        <v>0</v>
      </c>
      <c r="L137" s="29">
        <v>1031.24</v>
      </c>
      <c r="M137" s="80"/>
      <c r="N137" s="36"/>
      <c r="O137" s="35">
        <f t="shared" si="26"/>
        <v>0.004157834418432602</v>
      </c>
      <c r="P137" s="90"/>
    </row>
    <row r="138" spans="1:16" ht="12.75">
      <c r="A138" s="145"/>
      <c r="B138" s="156"/>
      <c r="C138" s="24">
        <v>4170</v>
      </c>
      <c r="D138" s="4"/>
      <c r="E138" s="6">
        <f>E139</f>
        <v>0</v>
      </c>
      <c r="F138" s="6">
        <f>F139</f>
        <v>0</v>
      </c>
      <c r="G138" s="6"/>
      <c r="H138" s="6"/>
      <c r="I138" s="39" t="e">
        <f t="shared" si="24"/>
        <v>#DIV/0!</v>
      </c>
      <c r="J138" s="6"/>
      <c r="K138" s="119">
        <f t="shared" si="25"/>
        <v>0</v>
      </c>
      <c r="L138" s="29"/>
      <c r="M138" s="80"/>
      <c r="N138" s="36"/>
      <c r="O138" s="35">
        <f t="shared" si="26"/>
        <v>0</v>
      </c>
      <c r="P138" s="90"/>
    </row>
    <row r="139" spans="1:16" ht="12.75" customHeight="1">
      <c r="A139" s="145"/>
      <c r="B139" s="156"/>
      <c r="C139" s="4" t="s">
        <v>270</v>
      </c>
      <c r="D139" s="4" t="s">
        <v>146</v>
      </c>
      <c r="E139" s="6"/>
      <c r="F139" s="6"/>
      <c r="G139" s="6"/>
      <c r="H139" s="6"/>
      <c r="I139" s="39" t="e">
        <f t="shared" si="24"/>
        <v>#DIV/0!</v>
      </c>
      <c r="J139" s="6"/>
      <c r="K139" s="119">
        <f t="shared" si="25"/>
        <v>0</v>
      </c>
      <c r="L139" s="29"/>
      <c r="M139" s="80"/>
      <c r="N139" s="36"/>
      <c r="O139" s="35">
        <f t="shared" si="26"/>
        <v>0</v>
      </c>
      <c r="P139" s="90"/>
    </row>
    <row r="140" spans="1:16" ht="12.75">
      <c r="A140" s="145"/>
      <c r="B140" s="156"/>
      <c r="C140" s="24">
        <v>4210</v>
      </c>
      <c r="D140" s="4"/>
      <c r="E140" s="6">
        <v>6744.41</v>
      </c>
      <c r="F140" s="6">
        <f>F141+F142</f>
        <v>8400</v>
      </c>
      <c r="G140" s="6">
        <v>6600</v>
      </c>
      <c r="H140" s="6">
        <v>3761.95</v>
      </c>
      <c r="I140" s="39">
        <f t="shared" si="24"/>
        <v>56.999242424242425</v>
      </c>
      <c r="J140" s="6">
        <v>6600</v>
      </c>
      <c r="K140" s="119">
        <f t="shared" si="25"/>
        <v>0.02478182246833616</v>
      </c>
      <c r="L140" s="6">
        <f>L141+L142</f>
        <v>8450</v>
      </c>
      <c r="M140" s="43">
        <f>M141+M142</f>
        <v>0</v>
      </c>
      <c r="N140" s="36">
        <f>(L140/J140)*100</f>
        <v>128.03030303030303</v>
      </c>
      <c r="O140" s="35">
        <f t="shared" si="26"/>
        <v>0.03406937360435542</v>
      </c>
      <c r="P140" s="90"/>
    </row>
    <row r="141" spans="1:16" ht="13.5" customHeight="1">
      <c r="A141" s="145"/>
      <c r="B141" s="156"/>
      <c r="C141" s="4" t="s">
        <v>271</v>
      </c>
      <c r="D141" s="4" t="s">
        <v>74</v>
      </c>
      <c r="E141" s="6"/>
      <c r="F141" s="6">
        <v>8400</v>
      </c>
      <c r="G141" s="6"/>
      <c r="H141" s="6"/>
      <c r="I141" s="39" t="e">
        <f t="shared" si="24"/>
        <v>#DIV/0!</v>
      </c>
      <c r="J141" s="6"/>
      <c r="K141" s="119">
        <f t="shared" si="25"/>
        <v>0</v>
      </c>
      <c r="L141" s="29">
        <v>8450</v>
      </c>
      <c r="M141" s="80"/>
      <c r="N141" s="36"/>
      <c r="O141" s="35">
        <f t="shared" si="26"/>
        <v>0.03406937360435542</v>
      </c>
      <c r="P141" s="90"/>
    </row>
    <row r="142" spans="1:16" ht="12.75">
      <c r="A142" s="145"/>
      <c r="B142" s="156"/>
      <c r="C142" s="4" t="s">
        <v>272</v>
      </c>
      <c r="D142" s="4"/>
      <c r="E142" s="6"/>
      <c r="F142" s="6"/>
      <c r="G142" s="6"/>
      <c r="H142" s="6"/>
      <c r="I142" s="39" t="e">
        <f t="shared" si="24"/>
        <v>#DIV/0!</v>
      </c>
      <c r="J142" s="6"/>
      <c r="K142" s="119">
        <f t="shared" si="25"/>
        <v>0</v>
      </c>
      <c r="L142" s="29"/>
      <c r="M142" s="80"/>
      <c r="N142" s="36"/>
      <c r="O142" s="35">
        <f t="shared" si="26"/>
        <v>0</v>
      </c>
      <c r="P142" s="90"/>
    </row>
    <row r="143" spans="1:16" ht="12.75">
      <c r="A143" s="145"/>
      <c r="B143" s="156"/>
      <c r="C143" s="24">
        <v>4300</v>
      </c>
      <c r="D143" s="4"/>
      <c r="E143" s="6">
        <v>1777.35</v>
      </c>
      <c r="F143" s="6">
        <f>F144+F145</f>
        <v>1500</v>
      </c>
      <c r="G143" s="6">
        <v>3300</v>
      </c>
      <c r="H143" s="6">
        <v>1972.92</v>
      </c>
      <c r="I143" s="39">
        <f t="shared" si="24"/>
        <v>59.785454545454556</v>
      </c>
      <c r="J143" s="6">
        <v>3300</v>
      </c>
      <c r="K143" s="119">
        <f t="shared" si="25"/>
        <v>0.01239091123416808</v>
      </c>
      <c r="L143" s="6">
        <f>L144+L145</f>
        <v>2400</v>
      </c>
      <c r="M143" s="43">
        <f>M144+M145</f>
        <v>0</v>
      </c>
      <c r="N143" s="36">
        <f>(L143/J143)*100</f>
        <v>72.72727272727273</v>
      </c>
      <c r="O143" s="35">
        <f t="shared" si="26"/>
        <v>0.009676508479343551</v>
      </c>
      <c r="P143" s="90"/>
    </row>
    <row r="144" spans="1:16" ht="12.75" customHeight="1">
      <c r="A144" s="145"/>
      <c r="B144" s="156"/>
      <c r="C144" s="4" t="s">
        <v>273</v>
      </c>
      <c r="D144" s="4" t="s">
        <v>87</v>
      </c>
      <c r="E144" s="6"/>
      <c r="F144" s="6">
        <v>1500</v>
      </c>
      <c r="G144" s="6"/>
      <c r="H144" s="6"/>
      <c r="I144" s="39" t="e">
        <f t="shared" si="24"/>
        <v>#DIV/0!</v>
      </c>
      <c r="J144" s="6"/>
      <c r="K144" s="119">
        <f t="shared" si="25"/>
        <v>0</v>
      </c>
      <c r="L144" s="29">
        <v>2400</v>
      </c>
      <c r="M144" s="80"/>
      <c r="N144" s="36"/>
      <c r="O144" s="35">
        <f t="shared" si="26"/>
        <v>0.009676508479343551</v>
      </c>
      <c r="P144" s="90"/>
    </row>
    <row r="145" spans="1:16" ht="12.75">
      <c r="A145" s="145"/>
      <c r="B145" s="156"/>
      <c r="C145" s="4" t="s">
        <v>274</v>
      </c>
      <c r="D145" s="4"/>
      <c r="E145" s="6"/>
      <c r="F145" s="6"/>
      <c r="G145" s="6"/>
      <c r="H145" s="6"/>
      <c r="I145" s="39" t="e">
        <f t="shared" si="24"/>
        <v>#DIV/0!</v>
      </c>
      <c r="J145" s="6"/>
      <c r="K145" s="119">
        <f t="shared" si="25"/>
        <v>0</v>
      </c>
      <c r="L145" s="29"/>
      <c r="M145" s="80"/>
      <c r="N145" s="36"/>
      <c r="O145" s="35">
        <f t="shared" si="26"/>
        <v>0</v>
      </c>
      <c r="P145" s="90"/>
    </row>
    <row r="146" spans="1:16" ht="12.75">
      <c r="A146" s="145"/>
      <c r="B146" s="156"/>
      <c r="C146" s="24">
        <v>4440</v>
      </c>
      <c r="D146" s="4"/>
      <c r="E146" s="6">
        <v>3400</v>
      </c>
      <c r="F146" s="6">
        <f>F147+F148</f>
        <v>3100</v>
      </c>
      <c r="G146" s="6">
        <v>3100</v>
      </c>
      <c r="H146" s="6">
        <v>3100</v>
      </c>
      <c r="I146" s="39">
        <f t="shared" si="24"/>
        <v>100</v>
      </c>
      <c r="J146" s="6">
        <v>3100</v>
      </c>
      <c r="K146" s="119">
        <f t="shared" si="25"/>
        <v>0.011639946916945771</v>
      </c>
      <c r="L146" s="6">
        <f>L147+L148</f>
        <v>3100</v>
      </c>
      <c r="M146" s="43">
        <f>M147+M148</f>
        <v>0</v>
      </c>
      <c r="N146" s="36">
        <f>(L146/J146)*100</f>
        <v>100</v>
      </c>
      <c r="O146" s="35">
        <f t="shared" si="26"/>
        <v>0.012498823452485422</v>
      </c>
      <c r="P146" s="90"/>
    </row>
    <row r="147" spans="1:16" ht="12.75" customHeight="1">
      <c r="A147" s="145"/>
      <c r="B147" s="156"/>
      <c r="C147" s="4" t="s">
        <v>260</v>
      </c>
      <c r="D147" s="4" t="s">
        <v>119</v>
      </c>
      <c r="E147" s="6"/>
      <c r="F147" s="6">
        <v>3100</v>
      </c>
      <c r="G147" s="6"/>
      <c r="H147" s="6"/>
      <c r="I147" s="39" t="e">
        <f t="shared" si="24"/>
        <v>#DIV/0!</v>
      </c>
      <c r="J147" s="6"/>
      <c r="K147" s="119">
        <f t="shared" si="25"/>
        <v>0</v>
      </c>
      <c r="L147" s="29">
        <v>3100</v>
      </c>
      <c r="M147" s="80"/>
      <c r="N147" s="36"/>
      <c r="O147" s="35">
        <f t="shared" si="26"/>
        <v>0.012498823452485422</v>
      </c>
      <c r="P147" s="90"/>
    </row>
    <row r="148" spans="1:16" ht="12.75">
      <c r="A148" s="145"/>
      <c r="B148" s="156"/>
      <c r="C148" s="4" t="s">
        <v>261</v>
      </c>
      <c r="D148" s="4" t="s">
        <v>119</v>
      </c>
      <c r="E148" s="6"/>
      <c r="F148" s="6"/>
      <c r="G148" s="6"/>
      <c r="H148" s="6"/>
      <c r="I148" s="39" t="e">
        <f t="shared" si="24"/>
        <v>#DIV/0!</v>
      </c>
      <c r="J148" s="6"/>
      <c r="K148" s="119">
        <f t="shared" si="25"/>
        <v>0</v>
      </c>
      <c r="L148" s="29"/>
      <c r="M148" s="80"/>
      <c r="N148" s="36"/>
      <c r="O148" s="35">
        <f t="shared" si="26"/>
        <v>0</v>
      </c>
      <c r="P148" s="90"/>
    </row>
    <row r="149" spans="1:16" ht="12.75">
      <c r="A149" s="145"/>
      <c r="B149" s="170" t="s">
        <v>120</v>
      </c>
      <c r="C149" s="3"/>
      <c r="D149" s="3" t="s">
        <v>121</v>
      </c>
      <c r="E149" s="5">
        <f aca="true" t="shared" si="27" ref="E149:M149">E151+E152+E153+E154+E155</f>
        <v>83895.95</v>
      </c>
      <c r="F149" s="5">
        <f t="shared" si="27"/>
        <v>80520</v>
      </c>
      <c r="G149" s="5">
        <f t="shared" si="27"/>
        <v>80520</v>
      </c>
      <c r="H149" s="5">
        <f t="shared" si="27"/>
        <v>51706.520000000004</v>
      </c>
      <c r="I149" s="5">
        <f t="shared" si="27"/>
        <v>172.4773889423077</v>
      </c>
      <c r="J149" s="5">
        <f t="shared" si="27"/>
        <v>78120</v>
      </c>
      <c r="K149" s="120">
        <f t="shared" si="25"/>
        <v>0.2933266623070334</v>
      </c>
      <c r="L149" s="5">
        <f t="shared" si="27"/>
        <v>80500</v>
      </c>
      <c r="M149" s="45">
        <f t="shared" si="27"/>
        <v>0</v>
      </c>
      <c r="N149" s="38">
        <f aca="true" t="shared" si="28" ref="N149:N178">(L149/J149)*100</f>
        <v>103.04659498207884</v>
      </c>
      <c r="O149" s="67">
        <f t="shared" si="26"/>
        <v>0.32456622191131496</v>
      </c>
      <c r="P149" s="90"/>
    </row>
    <row r="150" spans="1:16" s="18" customFormat="1" ht="12.75">
      <c r="A150" s="145"/>
      <c r="B150" s="171"/>
      <c r="C150" s="8"/>
      <c r="D150" s="8" t="s">
        <v>230</v>
      </c>
      <c r="E150" s="11">
        <f aca="true" t="shared" si="29" ref="E150:M150">E151+E152+E153+E154+E155</f>
        <v>83895.95</v>
      </c>
      <c r="F150" s="11">
        <f t="shared" si="29"/>
        <v>80520</v>
      </c>
      <c r="G150" s="11">
        <f t="shared" si="29"/>
        <v>80520</v>
      </c>
      <c r="H150" s="11">
        <f t="shared" si="29"/>
        <v>51706.520000000004</v>
      </c>
      <c r="I150" s="11">
        <f t="shared" si="29"/>
        <v>172.4773889423077</v>
      </c>
      <c r="J150" s="11">
        <f t="shared" si="29"/>
        <v>78120</v>
      </c>
      <c r="K150" s="119">
        <f t="shared" si="25"/>
        <v>0.2933266623070334</v>
      </c>
      <c r="L150" s="11">
        <f t="shared" si="29"/>
        <v>80500</v>
      </c>
      <c r="M150" s="109">
        <f t="shared" si="29"/>
        <v>0</v>
      </c>
      <c r="N150" s="36">
        <f t="shared" si="28"/>
        <v>103.04659498207884</v>
      </c>
      <c r="O150" s="35">
        <f t="shared" si="26"/>
        <v>0.32456622191131496</v>
      </c>
      <c r="P150" s="92"/>
    </row>
    <row r="151" spans="1:16" ht="12.75">
      <c r="A151" s="145"/>
      <c r="B151" s="172"/>
      <c r="C151" s="4" t="s">
        <v>122</v>
      </c>
      <c r="D151" s="4" t="s">
        <v>123</v>
      </c>
      <c r="E151" s="6">
        <v>66862.67</v>
      </c>
      <c r="F151" s="6">
        <v>65000</v>
      </c>
      <c r="G151" s="6">
        <v>65000</v>
      </c>
      <c r="H151" s="6">
        <v>44777.01</v>
      </c>
      <c r="I151" s="39">
        <f>(H151/G151)*100</f>
        <v>68.8877076923077</v>
      </c>
      <c r="J151" s="6">
        <v>65000</v>
      </c>
      <c r="K151" s="119">
        <f t="shared" si="25"/>
        <v>0.24406340309725003</v>
      </c>
      <c r="L151" s="29">
        <v>65000</v>
      </c>
      <c r="M151" s="80"/>
      <c r="N151" s="36">
        <f t="shared" si="28"/>
        <v>100</v>
      </c>
      <c r="O151" s="35">
        <f t="shared" si="26"/>
        <v>0.26207210464888786</v>
      </c>
      <c r="P151" s="90"/>
    </row>
    <row r="152" spans="1:16" ht="12.75">
      <c r="A152" s="145"/>
      <c r="B152" s="172"/>
      <c r="C152" s="4" t="s">
        <v>101</v>
      </c>
      <c r="D152" s="4" t="s">
        <v>74</v>
      </c>
      <c r="E152" s="6">
        <v>8622.4</v>
      </c>
      <c r="F152" s="6">
        <v>10000</v>
      </c>
      <c r="G152" s="6">
        <v>10000</v>
      </c>
      <c r="H152" s="6">
        <v>3331.39</v>
      </c>
      <c r="I152" s="39">
        <f>(H152/G152)*100</f>
        <v>33.3139</v>
      </c>
      <c r="J152" s="6">
        <v>8000</v>
      </c>
      <c r="K152" s="119">
        <f t="shared" si="25"/>
        <v>0.030038572688892314</v>
      </c>
      <c r="L152" s="29">
        <v>8000</v>
      </c>
      <c r="M152" s="80"/>
      <c r="N152" s="36">
        <f t="shared" si="28"/>
        <v>100</v>
      </c>
      <c r="O152" s="35">
        <f t="shared" si="26"/>
        <v>0.0322550282644785</v>
      </c>
      <c r="P152" s="90"/>
    </row>
    <row r="153" spans="1:16" ht="12.75">
      <c r="A153" s="145"/>
      <c r="B153" s="172"/>
      <c r="C153" s="4" t="s">
        <v>78</v>
      </c>
      <c r="D153" s="4" t="s">
        <v>87</v>
      </c>
      <c r="E153" s="6">
        <v>8410.88</v>
      </c>
      <c r="F153" s="6">
        <v>5120</v>
      </c>
      <c r="G153" s="6">
        <v>5120</v>
      </c>
      <c r="H153" s="6">
        <v>3598.12</v>
      </c>
      <c r="I153" s="39">
        <f>(H153/G153)*100</f>
        <v>70.27578125000001</v>
      </c>
      <c r="J153" s="6">
        <v>5120</v>
      </c>
      <c r="K153" s="119">
        <f t="shared" si="25"/>
        <v>0.01922468652089108</v>
      </c>
      <c r="L153" s="29">
        <v>7000</v>
      </c>
      <c r="M153" s="80"/>
      <c r="N153" s="36">
        <f t="shared" si="28"/>
        <v>136.71875</v>
      </c>
      <c r="O153" s="35">
        <f t="shared" si="26"/>
        <v>0.028223149731418692</v>
      </c>
      <c r="P153" s="90"/>
    </row>
    <row r="154" spans="1:16" ht="12.75">
      <c r="A154" s="145"/>
      <c r="B154" s="172"/>
      <c r="C154" s="4" t="s">
        <v>124</v>
      </c>
      <c r="D154" s="4" t="s">
        <v>125</v>
      </c>
      <c r="E154" s="6"/>
      <c r="F154" s="6">
        <v>200</v>
      </c>
      <c r="G154" s="6">
        <v>200</v>
      </c>
      <c r="H154" s="6"/>
      <c r="I154" s="39">
        <f>(H154/G154)*100</f>
        <v>0</v>
      </c>
      <c r="J154" s="6"/>
      <c r="K154" s="119">
        <f t="shared" si="25"/>
        <v>0</v>
      </c>
      <c r="L154" s="29">
        <v>300</v>
      </c>
      <c r="M154" s="80"/>
      <c r="N154" s="36"/>
      <c r="O154" s="35">
        <f t="shared" si="26"/>
        <v>0.001209563559917944</v>
      </c>
      <c r="P154" s="90"/>
    </row>
    <row r="155" spans="1:16" ht="12.75">
      <c r="A155" s="145"/>
      <c r="B155" s="172"/>
      <c r="C155" s="4" t="s">
        <v>126</v>
      </c>
      <c r="D155" s="4" t="s">
        <v>127</v>
      </c>
      <c r="E155" s="6"/>
      <c r="F155" s="6">
        <v>200</v>
      </c>
      <c r="G155" s="6">
        <v>200</v>
      </c>
      <c r="H155" s="6"/>
      <c r="I155" s="39">
        <f>(H155/G155)*100</f>
        <v>0</v>
      </c>
      <c r="J155" s="6"/>
      <c r="K155" s="119">
        <f t="shared" si="25"/>
        <v>0</v>
      </c>
      <c r="L155" s="29">
        <v>200</v>
      </c>
      <c r="M155" s="80"/>
      <c r="N155" s="36"/>
      <c r="O155" s="35">
        <f t="shared" si="26"/>
        <v>0.0008063757066119625</v>
      </c>
      <c r="P155" s="90"/>
    </row>
    <row r="156" spans="1:16" ht="12.75">
      <c r="A156" s="145"/>
      <c r="B156" s="147" t="s">
        <v>52</v>
      </c>
      <c r="C156" s="3"/>
      <c r="D156" s="3" t="s">
        <v>53</v>
      </c>
      <c r="E156" s="5">
        <f aca="true" t="shared" si="30" ref="E156:L156">SUM(E159:E182)</f>
        <v>1969838.06</v>
      </c>
      <c r="F156" s="5">
        <f t="shared" si="30"/>
        <v>2106390.5999999996</v>
      </c>
      <c r="G156" s="5">
        <f t="shared" si="30"/>
        <v>2152348.1799999997</v>
      </c>
      <c r="H156" s="5">
        <f t="shared" si="30"/>
        <v>1467968.9700000002</v>
      </c>
      <c r="I156" s="5">
        <f t="shared" si="30"/>
        <v>1225.153171477158</v>
      </c>
      <c r="J156" s="5">
        <f t="shared" si="30"/>
        <v>2037065.3399999999</v>
      </c>
      <c r="K156" s="120">
        <f t="shared" si="25"/>
        <v>7.648816910951642</v>
      </c>
      <c r="L156" s="5">
        <f t="shared" si="30"/>
        <v>2267412.31</v>
      </c>
      <c r="M156" s="45">
        <f>SUM(M159:M181)+M182</f>
        <v>0</v>
      </c>
      <c r="N156" s="38">
        <f t="shared" si="28"/>
        <v>111.3077850512149</v>
      </c>
      <c r="O156" s="67">
        <f t="shared" si="26"/>
        <v>9.141931018284561</v>
      </c>
      <c r="P156" s="90"/>
    </row>
    <row r="157" spans="1:16" s="18" customFormat="1" ht="14.25" customHeight="1">
      <c r="A157" s="145"/>
      <c r="B157" s="150"/>
      <c r="C157" s="8"/>
      <c r="D157" s="23" t="s">
        <v>230</v>
      </c>
      <c r="E157" s="11" t="e">
        <f>E159+E160+E161+E162+E163+E164+E165+E166+E167+E168+E169+E170+E171+E172+E173+E174+E175+E177+E178+E179+E181+E180+#REF!</f>
        <v>#REF!</v>
      </c>
      <c r="F157" s="11" t="e">
        <f>F159+F160+F161+F162+F163+F164+F165+F166+F167+F168+F169+F170+F171+F172+F173+F174+F175+F177+F178+F179+F181+F180+#REF!</f>
        <v>#REF!</v>
      </c>
      <c r="G157" s="11" t="e">
        <f>G159+G160+G161+G162+G163+G164+G165+G166+G167+G168+G169+G170+G171+G172+G173+G174+G175+G177+G178+G179+G181+G180+#REF!</f>
        <v>#REF!</v>
      </c>
      <c r="H157" s="11" t="e">
        <f>H159+H160+H161+H162+H163+H164+H165+H166+H167+H168+H169+H170+H171+H172+H173+H174+H175+H177+H178+H179+H181+H180+#REF!</f>
        <v>#REF!</v>
      </c>
      <c r="I157" s="11" t="e">
        <f>I159+I160+I161+I162+I163+I164+I165+I166+I167+I168+I169+I170+I171+I172+I173+I174+I175+I177+I178+I179+I181+I180+#REF!</f>
        <v>#REF!</v>
      </c>
      <c r="J157" s="11">
        <f>J159+J160+J161+J162+J163+J164+J165+J166+J167+J168+J169+J170+J171+J172+J173+J174+J175+J177+J178+J179+J181+J180</f>
        <v>2034565.3399999999</v>
      </c>
      <c r="K157" s="119">
        <f t="shared" si="25"/>
        <v>7.639429856986363</v>
      </c>
      <c r="L157" s="11">
        <f>L159+L160+L161+L162+L163+L164+L165+L166+L167+L168+L169+L170+L171+L172+L173+L174+L175+L177+L178+L179+L181+L180</f>
        <v>2257212.31</v>
      </c>
      <c r="M157" s="109" t="e">
        <f>M159+M160+M161+M162+M163+M164+M165+M166+M167+M168+M169+M170+M171+M172+M173+M174+M175+M177+M178+M179+M181+M180+#REF!</f>
        <v>#REF!</v>
      </c>
      <c r="N157" s="36">
        <f t="shared" si="28"/>
        <v>110.94322043252738</v>
      </c>
      <c r="O157" s="35">
        <f t="shared" si="26"/>
        <v>9.100805857247352</v>
      </c>
      <c r="P157" s="92"/>
    </row>
    <row r="158" spans="1:16" s="18" customFormat="1" ht="12.75">
      <c r="A158" s="145"/>
      <c r="B158" s="150"/>
      <c r="C158" s="8"/>
      <c r="D158" s="8" t="s">
        <v>245</v>
      </c>
      <c r="E158" s="11">
        <f aca="true" t="shared" si="31" ref="E158:M158">E182</f>
        <v>5110</v>
      </c>
      <c r="F158" s="11">
        <f t="shared" si="31"/>
        <v>12720</v>
      </c>
      <c r="G158" s="11">
        <f t="shared" si="31"/>
        <v>12720</v>
      </c>
      <c r="H158" s="11">
        <f t="shared" si="31"/>
        <v>1586.7</v>
      </c>
      <c r="I158" s="11">
        <f t="shared" si="31"/>
        <v>12.474056603773585</v>
      </c>
      <c r="J158" s="11">
        <f t="shared" si="31"/>
        <v>2500</v>
      </c>
      <c r="K158" s="119">
        <f t="shared" si="25"/>
        <v>0.00938705396527885</v>
      </c>
      <c r="L158" s="11">
        <f t="shared" si="31"/>
        <v>10000</v>
      </c>
      <c r="M158" s="109">
        <f t="shared" si="31"/>
        <v>0</v>
      </c>
      <c r="N158" s="36">
        <f t="shared" si="28"/>
        <v>400</v>
      </c>
      <c r="O158" s="35">
        <f t="shared" si="26"/>
        <v>0.040318785330598135</v>
      </c>
      <c r="P158" s="92"/>
    </row>
    <row r="159" spans="1:16" ht="12.75">
      <c r="A159" s="145"/>
      <c r="B159" s="148"/>
      <c r="C159" s="4" t="s">
        <v>92</v>
      </c>
      <c r="D159" s="4" t="s">
        <v>128</v>
      </c>
      <c r="E159" s="6">
        <v>7494.06</v>
      </c>
      <c r="F159" s="6">
        <v>11766</v>
      </c>
      <c r="G159" s="6">
        <v>11766</v>
      </c>
      <c r="H159" s="6">
        <v>3516.67</v>
      </c>
      <c r="I159" s="39">
        <f aca="true" t="shared" si="32" ref="I159:I183">(H159/G159)*100</f>
        <v>29.88840727519973</v>
      </c>
      <c r="J159" s="6">
        <v>6000</v>
      </c>
      <c r="K159" s="119">
        <f t="shared" si="25"/>
        <v>0.022528929516669235</v>
      </c>
      <c r="L159" s="29">
        <v>5848</v>
      </c>
      <c r="M159" s="80"/>
      <c r="N159" s="36">
        <f t="shared" si="28"/>
        <v>97.46666666666667</v>
      </c>
      <c r="O159" s="35">
        <f t="shared" si="26"/>
        <v>0.023578425661333786</v>
      </c>
      <c r="P159" s="90"/>
    </row>
    <row r="160" spans="1:16" ht="12.75">
      <c r="A160" s="145"/>
      <c r="B160" s="148"/>
      <c r="C160" s="4" t="s">
        <v>94</v>
      </c>
      <c r="D160" s="4" t="s">
        <v>95</v>
      </c>
      <c r="E160" s="6">
        <v>1264216.72</v>
      </c>
      <c r="F160" s="6">
        <v>1324993.44</v>
      </c>
      <c r="G160" s="6">
        <v>1314993.44</v>
      </c>
      <c r="H160" s="6">
        <v>892515.55</v>
      </c>
      <c r="I160" s="39">
        <f t="shared" si="32"/>
        <v>67.87224352997534</v>
      </c>
      <c r="J160" s="6">
        <v>1314993.44</v>
      </c>
      <c r="K160" s="119">
        <f t="shared" si="25"/>
        <v>4.937565754107069</v>
      </c>
      <c r="L160" s="29">
        <v>1421883.51</v>
      </c>
      <c r="M160" s="80"/>
      <c r="N160" s="36">
        <f t="shared" si="28"/>
        <v>108.12856298355375</v>
      </c>
      <c r="O160" s="35">
        <f t="shared" si="26"/>
        <v>5.732861600480739</v>
      </c>
      <c r="P160" s="90"/>
    </row>
    <row r="161" spans="1:16" ht="12.75">
      <c r="A161" s="145"/>
      <c r="B161" s="148"/>
      <c r="C161" s="4" t="s">
        <v>96</v>
      </c>
      <c r="D161" s="4" t="s">
        <v>97</v>
      </c>
      <c r="E161" s="6">
        <v>94823.8</v>
      </c>
      <c r="F161" s="6">
        <v>97000</v>
      </c>
      <c r="G161" s="6">
        <v>97000</v>
      </c>
      <c r="H161" s="6">
        <v>96765.74</v>
      </c>
      <c r="I161" s="39">
        <f t="shared" si="32"/>
        <v>99.75849484536083</v>
      </c>
      <c r="J161" s="6">
        <v>96765.74</v>
      </c>
      <c r="K161" s="119">
        <f t="shared" si="25"/>
        <v>0.36333808934805684</v>
      </c>
      <c r="L161" s="29">
        <v>98600</v>
      </c>
      <c r="M161" s="80"/>
      <c r="N161" s="36">
        <f t="shared" si="28"/>
        <v>101.89556758414702</v>
      </c>
      <c r="O161" s="35">
        <f t="shared" si="26"/>
        <v>0.3975432233596976</v>
      </c>
      <c r="P161" s="90"/>
    </row>
    <row r="162" spans="1:16" ht="12.75">
      <c r="A162" s="145"/>
      <c r="B162" s="148"/>
      <c r="C162" s="4" t="s">
        <v>98</v>
      </c>
      <c r="D162" s="4" t="s">
        <v>84</v>
      </c>
      <c r="E162" s="6">
        <v>199469.35</v>
      </c>
      <c r="F162" s="6">
        <v>193500</v>
      </c>
      <c r="G162" s="6">
        <v>247562.53</v>
      </c>
      <c r="H162" s="6">
        <v>148965.66</v>
      </c>
      <c r="I162" s="39">
        <f t="shared" si="32"/>
        <v>60.1729429732359</v>
      </c>
      <c r="J162" s="6">
        <v>198000</v>
      </c>
      <c r="K162" s="119">
        <f t="shared" si="25"/>
        <v>0.7434546740500847</v>
      </c>
      <c r="L162" s="29">
        <v>240091.05</v>
      </c>
      <c r="M162" s="80"/>
      <c r="N162" s="36">
        <f t="shared" si="28"/>
        <v>121.25810606060605</v>
      </c>
      <c r="O162" s="35">
        <f t="shared" si="26"/>
        <v>0.9680179504747902</v>
      </c>
      <c r="P162" s="90"/>
    </row>
    <row r="163" spans="1:16" ht="12.75">
      <c r="A163" s="145"/>
      <c r="B163" s="148"/>
      <c r="C163" s="4" t="s">
        <v>99</v>
      </c>
      <c r="D163" s="4" t="s">
        <v>106</v>
      </c>
      <c r="E163" s="6">
        <v>22827.34</v>
      </c>
      <c r="F163" s="6">
        <v>32000</v>
      </c>
      <c r="G163" s="6">
        <v>34895.05</v>
      </c>
      <c r="H163" s="6">
        <v>15332.78</v>
      </c>
      <c r="I163" s="39">
        <f t="shared" si="32"/>
        <v>43.939699183695105</v>
      </c>
      <c r="J163" s="6">
        <v>19800</v>
      </c>
      <c r="K163" s="119">
        <f t="shared" si="25"/>
        <v>0.07434546740500848</v>
      </c>
      <c r="L163" s="29">
        <v>35116.15</v>
      </c>
      <c r="M163" s="80"/>
      <c r="N163" s="36">
        <f t="shared" si="28"/>
        <v>177.35429292929294</v>
      </c>
      <c r="O163" s="35">
        <f t="shared" si="26"/>
        <v>0.14158405134870836</v>
      </c>
      <c r="P163" s="90"/>
    </row>
    <row r="164" spans="1:16" ht="22.5">
      <c r="A164" s="145"/>
      <c r="B164" s="148"/>
      <c r="C164" s="4" t="s">
        <v>129</v>
      </c>
      <c r="D164" s="4" t="s">
        <v>130</v>
      </c>
      <c r="E164" s="6">
        <v>19980</v>
      </c>
      <c r="F164" s="6">
        <v>19000</v>
      </c>
      <c r="G164" s="6">
        <v>30000</v>
      </c>
      <c r="H164" s="6">
        <v>20086</v>
      </c>
      <c r="I164" s="39">
        <f t="shared" si="32"/>
        <v>66.95333333333333</v>
      </c>
      <c r="J164" s="6">
        <v>25000</v>
      </c>
      <c r="K164" s="119">
        <f t="shared" si="25"/>
        <v>0.09387053965278848</v>
      </c>
      <c r="L164" s="29">
        <v>27000</v>
      </c>
      <c r="M164" s="80"/>
      <c r="N164" s="36">
        <f t="shared" si="28"/>
        <v>108</v>
      </c>
      <c r="O164" s="35">
        <f t="shared" si="26"/>
        <v>0.10886072039261495</v>
      </c>
      <c r="P164" s="90"/>
    </row>
    <row r="165" spans="1:16" ht="12.75">
      <c r="A165" s="145"/>
      <c r="B165" s="148"/>
      <c r="C165" s="4" t="s">
        <v>100</v>
      </c>
      <c r="D165" s="4" t="s">
        <v>86</v>
      </c>
      <c r="E165" s="6">
        <v>14898.07</v>
      </c>
      <c r="F165" s="6">
        <v>16000</v>
      </c>
      <c r="G165" s="6">
        <v>16000</v>
      </c>
      <c r="H165" s="6">
        <v>12622.01</v>
      </c>
      <c r="I165" s="39">
        <f t="shared" si="32"/>
        <v>78.8875625</v>
      </c>
      <c r="J165" s="6">
        <v>15000</v>
      </c>
      <c r="K165" s="119">
        <f t="shared" si="25"/>
        <v>0.05632232379167309</v>
      </c>
      <c r="L165" s="29">
        <v>15000</v>
      </c>
      <c r="M165" s="80"/>
      <c r="N165" s="36">
        <f t="shared" si="28"/>
        <v>100</v>
      </c>
      <c r="O165" s="35">
        <f t="shared" si="26"/>
        <v>0.06047817799589719</v>
      </c>
      <c r="P165" s="90"/>
    </row>
    <row r="166" spans="1:16" ht="12.75">
      <c r="A166" s="145"/>
      <c r="B166" s="148"/>
      <c r="C166" s="4" t="s">
        <v>101</v>
      </c>
      <c r="D166" s="4" t="s">
        <v>74</v>
      </c>
      <c r="E166" s="6">
        <v>128961.69</v>
      </c>
      <c r="F166" s="6">
        <v>173472</v>
      </c>
      <c r="G166" s="6">
        <v>168472</v>
      </c>
      <c r="H166" s="6">
        <v>118237.08</v>
      </c>
      <c r="I166" s="39">
        <f t="shared" si="32"/>
        <v>70.18203618405433</v>
      </c>
      <c r="J166" s="6">
        <v>168472</v>
      </c>
      <c r="K166" s="119">
        <f t="shared" si="25"/>
        <v>0.6325823022553833</v>
      </c>
      <c r="L166" s="29">
        <v>195875</v>
      </c>
      <c r="M166" s="80"/>
      <c r="N166" s="36">
        <f t="shared" si="28"/>
        <v>116.26561090270194</v>
      </c>
      <c r="O166" s="35">
        <f t="shared" si="26"/>
        <v>0.789744207663091</v>
      </c>
      <c r="P166" s="90"/>
    </row>
    <row r="167" spans="1:16" ht="12.75">
      <c r="A167" s="145"/>
      <c r="B167" s="148"/>
      <c r="C167" s="4" t="s">
        <v>109</v>
      </c>
      <c r="D167" s="4" t="s">
        <v>75</v>
      </c>
      <c r="E167" s="6">
        <v>19426.49</v>
      </c>
      <c r="F167" s="6">
        <v>19560</v>
      </c>
      <c r="G167" s="6">
        <v>19560</v>
      </c>
      <c r="H167" s="6">
        <v>7167.14</v>
      </c>
      <c r="I167" s="39">
        <f t="shared" si="32"/>
        <v>36.641820040899795</v>
      </c>
      <c r="J167" s="6">
        <v>12000</v>
      </c>
      <c r="K167" s="119">
        <f t="shared" si="25"/>
        <v>0.04505785903333847</v>
      </c>
      <c r="L167" s="29">
        <v>21000</v>
      </c>
      <c r="M167" s="80"/>
      <c r="N167" s="36">
        <f t="shared" si="28"/>
        <v>175</v>
      </c>
      <c r="O167" s="35">
        <f t="shared" si="26"/>
        <v>0.08466944919425608</v>
      </c>
      <c r="P167" s="90"/>
    </row>
    <row r="168" spans="1:16" ht="12.75">
      <c r="A168" s="145"/>
      <c r="B168" s="148"/>
      <c r="C168" s="4" t="s">
        <v>76</v>
      </c>
      <c r="D168" s="4" t="s">
        <v>77</v>
      </c>
      <c r="E168" s="6"/>
      <c r="F168" s="6">
        <v>13720</v>
      </c>
      <c r="G168" s="6">
        <v>13720</v>
      </c>
      <c r="H168" s="6"/>
      <c r="I168" s="39">
        <f t="shared" si="32"/>
        <v>0</v>
      </c>
      <c r="J168" s="6"/>
      <c r="K168" s="119">
        <f t="shared" si="25"/>
        <v>0</v>
      </c>
      <c r="L168" s="29">
        <v>10000</v>
      </c>
      <c r="M168" s="80"/>
      <c r="N168" s="36"/>
      <c r="O168" s="35">
        <f t="shared" si="26"/>
        <v>0.040318785330598135</v>
      </c>
      <c r="P168" s="90"/>
    </row>
    <row r="169" spans="1:16" ht="12.75">
      <c r="A169" s="145"/>
      <c r="B169" s="148"/>
      <c r="C169" s="4" t="s">
        <v>131</v>
      </c>
      <c r="D169" s="4" t="s">
        <v>91</v>
      </c>
      <c r="E169" s="6">
        <v>945</v>
      </c>
      <c r="F169" s="6">
        <v>2125</v>
      </c>
      <c r="G169" s="6">
        <v>2125</v>
      </c>
      <c r="H169" s="6">
        <v>555</v>
      </c>
      <c r="I169" s="39">
        <f t="shared" si="32"/>
        <v>26.11764705882353</v>
      </c>
      <c r="J169" s="6">
        <v>800</v>
      </c>
      <c r="K169" s="119">
        <f t="shared" si="25"/>
        <v>0.003003857268889231</v>
      </c>
      <c r="L169" s="29">
        <v>2500</v>
      </c>
      <c r="M169" s="80"/>
      <c r="N169" s="36">
        <f t="shared" si="28"/>
        <v>312.5</v>
      </c>
      <c r="O169" s="35">
        <f t="shared" si="26"/>
        <v>0.010079696332649534</v>
      </c>
      <c r="P169" s="90"/>
    </row>
    <row r="170" spans="1:16" ht="12.75">
      <c r="A170" s="145"/>
      <c r="B170" s="148"/>
      <c r="C170" s="4" t="s">
        <v>78</v>
      </c>
      <c r="D170" s="4" t="s">
        <v>87</v>
      </c>
      <c r="E170" s="6">
        <v>87514.69</v>
      </c>
      <c r="F170" s="6">
        <v>83615.76</v>
      </c>
      <c r="G170" s="6">
        <v>78615.76</v>
      </c>
      <c r="H170" s="6">
        <v>64373.5</v>
      </c>
      <c r="I170" s="39">
        <f t="shared" si="32"/>
        <v>81.88370881360176</v>
      </c>
      <c r="J170" s="6">
        <v>78615.76</v>
      </c>
      <c r="K170" s="119">
        <f t="shared" si="25"/>
        <v>0.29518815265656406</v>
      </c>
      <c r="L170" s="29">
        <v>82395.6</v>
      </c>
      <c r="M170" s="80"/>
      <c r="N170" s="36">
        <f t="shared" si="28"/>
        <v>104.8079926976474</v>
      </c>
      <c r="O170" s="35">
        <f t="shared" si="26"/>
        <v>0.33220905085858315</v>
      </c>
      <c r="P170" s="90"/>
    </row>
    <row r="171" spans="1:16" ht="12.75">
      <c r="A171" s="145"/>
      <c r="B171" s="148"/>
      <c r="C171" s="4" t="s">
        <v>132</v>
      </c>
      <c r="D171" s="4" t="s">
        <v>133</v>
      </c>
      <c r="E171" s="6">
        <v>4266.41</v>
      </c>
      <c r="F171" s="6">
        <v>6000</v>
      </c>
      <c r="G171" s="6">
        <v>6000</v>
      </c>
      <c r="H171" s="6">
        <v>3438.83</v>
      </c>
      <c r="I171" s="39">
        <f t="shared" si="32"/>
        <v>57.31383333333333</v>
      </c>
      <c r="J171" s="6">
        <v>6000</v>
      </c>
      <c r="K171" s="119">
        <f t="shared" si="25"/>
        <v>0.022528929516669235</v>
      </c>
      <c r="L171" s="29">
        <v>6000</v>
      </c>
      <c r="M171" s="80"/>
      <c r="N171" s="36">
        <f t="shared" si="28"/>
        <v>100</v>
      </c>
      <c r="O171" s="35">
        <f t="shared" si="26"/>
        <v>0.024191271198358878</v>
      </c>
      <c r="P171" s="90"/>
    </row>
    <row r="172" spans="1:16" ht="22.5">
      <c r="A172" s="145"/>
      <c r="B172" s="148"/>
      <c r="C172" s="4">
        <v>4360</v>
      </c>
      <c r="D172" s="4" t="s">
        <v>134</v>
      </c>
      <c r="E172" s="6">
        <v>7634.92</v>
      </c>
      <c r="F172" s="6">
        <v>8018.4</v>
      </c>
      <c r="G172" s="6">
        <v>8018.4</v>
      </c>
      <c r="H172" s="6">
        <v>5617.26</v>
      </c>
      <c r="I172" s="39">
        <f t="shared" si="32"/>
        <v>70.05462436396289</v>
      </c>
      <c r="J172" s="6">
        <v>8018.4</v>
      </c>
      <c r="K172" s="119">
        <f t="shared" si="25"/>
        <v>0.030107661406076763</v>
      </c>
      <c r="L172" s="29">
        <v>9243</v>
      </c>
      <c r="M172" s="80"/>
      <c r="N172" s="36">
        <f t="shared" si="28"/>
        <v>115.27237354085604</v>
      </c>
      <c r="O172" s="35">
        <f t="shared" si="26"/>
        <v>0.03726665328107185</v>
      </c>
      <c r="P172" s="90"/>
    </row>
    <row r="173" spans="1:16" ht="22.5">
      <c r="A173" s="145"/>
      <c r="B173" s="148"/>
      <c r="C173" s="4">
        <v>4370</v>
      </c>
      <c r="D173" s="4" t="s">
        <v>135</v>
      </c>
      <c r="E173" s="6">
        <v>9241.94</v>
      </c>
      <c r="F173" s="6">
        <v>9000</v>
      </c>
      <c r="G173" s="6">
        <v>9000</v>
      </c>
      <c r="H173" s="6">
        <v>6689.38</v>
      </c>
      <c r="I173" s="39">
        <f t="shared" si="32"/>
        <v>74.32644444444445</v>
      </c>
      <c r="J173" s="6">
        <v>9000</v>
      </c>
      <c r="K173" s="119">
        <f t="shared" si="25"/>
        <v>0.03379339427500385</v>
      </c>
      <c r="L173" s="29">
        <v>9360</v>
      </c>
      <c r="M173" s="80"/>
      <c r="N173" s="36">
        <f t="shared" si="28"/>
        <v>104</v>
      </c>
      <c r="O173" s="35">
        <f t="shared" si="26"/>
        <v>0.03773838306943985</v>
      </c>
      <c r="P173" s="90"/>
    </row>
    <row r="174" spans="1:16" ht="12.75">
      <c r="A174" s="145"/>
      <c r="B174" s="148"/>
      <c r="C174" s="4">
        <v>4380</v>
      </c>
      <c r="D174" s="4" t="s">
        <v>136</v>
      </c>
      <c r="E174" s="6"/>
      <c r="F174" s="6">
        <v>200</v>
      </c>
      <c r="G174" s="6">
        <v>200</v>
      </c>
      <c r="H174" s="6"/>
      <c r="I174" s="39">
        <f t="shared" si="32"/>
        <v>0</v>
      </c>
      <c r="J174" s="6"/>
      <c r="K174" s="119">
        <f t="shared" si="25"/>
        <v>0</v>
      </c>
      <c r="L174" s="29">
        <v>200</v>
      </c>
      <c r="M174" s="80"/>
      <c r="N174" s="36"/>
      <c r="O174" s="35">
        <f t="shared" si="26"/>
        <v>0.0008063757066119625</v>
      </c>
      <c r="P174" s="90"/>
    </row>
    <row r="175" spans="1:16" ht="12.75">
      <c r="A175" s="145"/>
      <c r="B175" s="148"/>
      <c r="C175" s="4" t="s">
        <v>124</v>
      </c>
      <c r="D175" s="4" t="s">
        <v>125</v>
      </c>
      <c r="E175" s="6">
        <v>18532.36</v>
      </c>
      <c r="F175" s="6">
        <v>16000</v>
      </c>
      <c r="G175" s="6">
        <v>14000</v>
      </c>
      <c r="H175" s="6">
        <v>11191.67</v>
      </c>
      <c r="I175" s="39">
        <f t="shared" si="32"/>
        <v>79.9405</v>
      </c>
      <c r="J175" s="6">
        <v>14000</v>
      </c>
      <c r="K175" s="119">
        <f t="shared" si="25"/>
        <v>0.05256750220556154</v>
      </c>
      <c r="L175" s="29">
        <v>16000</v>
      </c>
      <c r="M175" s="80"/>
      <c r="N175" s="36">
        <f t="shared" si="28"/>
        <v>114.28571428571428</v>
      </c>
      <c r="O175" s="35">
        <f t="shared" si="26"/>
        <v>0.064510056528957</v>
      </c>
      <c r="P175" s="90"/>
    </row>
    <row r="176" spans="1:16" ht="15.75" customHeight="1">
      <c r="A176" s="145"/>
      <c r="B176" s="148"/>
      <c r="C176" s="4" t="s">
        <v>126</v>
      </c>
      <c r="D176" s="4" t="s">
        <v>127</v>
      </c>
      <c r="F176" s="6">
        <v>200</v>
      </c>
      <c r="G176" s="6">
        <v>200</v>
      </c>
      <c r="H176" s="6"/>
      <c r="I176" s="39">
        <f t="shared" si="32"/>
        <v>0</v>
      </c>
      <c r="J176" s="6"/>
      <c r="K176" s="119">
        <f t="shared" si="25"/>
        <v>0</v>
      </c>
      <c r="L176" s="29">
        <v>200</v>
      </c>
      <c r="M176" s="80"/>
      <c r="N176" s="36"/>
      <c r="O176" s="35">
        <f t="shared" si="26"/>
        <v>0.0008063757066119625</v>
      </c>
      <c r="P176" s="90"/>
    </row>
    <row r="177" spans="1:16" ht="12.75">
      <c r="A177" s="145"/>
      <c r="B177" s="148"/>
      <c r="C177" s="4" t="s">
        <v>110</v>
      </c>
      <c r="D177" s="4" t="s">
        <v>88</v>
      </c>
      <c r="E177" s="6">
        <v>8214.67</v>
      </c>
      <c r="F177" s="6">
        <v>6800</v>
      </c>
      <c r="G177" s="6">
        <v>6800</v>
      </c>
      <c r="H177" s="6">
        <v>6569.8</v>
      </c>
      <c r="I177" s="39">
        <f t="shared" si="32"/>
        <v>96.61470588235295</v>
      </c>
      <c r="J177" s="6">
        <v>6800</v>
      </c>
      <c r="K177" s="119">
        <f t="shared" si="25"/>
        <v>0.025532786785558467</v>
      </c>
      <c r="L177" s="29">
        <v>7500</v>
      </c>
      <c r="M177" s="80"/>
      <c r="N177" s="36">
        <f t="shared" si="28"/>
        <v>110.29411764705883</v>
      </c>
      <c r="O177" s="35">
        <f t="shared" si="26"/>
        <v>0.030239088997948596</v>
      </c>
      <c r="P177" s="90"/>
    </row>
    <row r="178" spans="1:16" ht="15.75" customHeight="1">
      <c r="A178" s="145"/>
      <c r="B178" s="148"/>
      <c r="C178" s="4" t="s">
        <v>118</v>
      </c>
      <c r="D178" s="4" t="s">
        <v>137</v>
      </c>
      <c r="E178" s="6">
        <v>40000</v>
      </c>
      <c r="F178" s="6">
        <v>42300</v>
      </c>
      <c r="G178" s="6">
        <v>42300</v>
      </c>
      <c r="H178" s="6">
        <v>42300</v>
      </c>
      <c r="I178" s="39">
        <f t="shared" si="32"/>
        <v>100</v>
      </c>
      <c r="J178" s="6">
        <v>42300</v>
      </c>
      <c r="K178" s="119">
        <f t="shared" si="25"/>
        <v>0.1588289530925181</v>
      </c>
      <c r="L178" s="29">
        <v>35000</v>
      </c>
      <c r="M178" s="80"/>
      <c r="N178" s="36">
        <f t="shared" si="28"/>
        <v>82.74231678486997</v>
      </c>
      <c r="O178" s="35">
        <f t="shared" si="26"/>
        <v>0.14111574865709345</v>
      </c>
      <c r="P178" s="90"/>
    </row>
    <row r="179" spans="1:16" ht="12.75">
      <c r="A179" s="145"/>
      <c r="B179" s="148"/>
      <c r="C179" s="4" t="s">
        <v>138</v>
      </c>
      <c r="D179" s="4" t="s">
        <v>139</v>
      </c>
      <c r="E179" s="6"/>
      <c r="F179" s="6">
        <v>200</v>
      </c>
      <c r="G179" s="6">
        <v>200</v>
      </c>
      <c r="H179" s="6"/>
      <c r="I179" s="39">
        <f t="shared" si="32"/>
        <v>0</v>
      </c>
      <c r="J179" s="6"/>
      <c r="K179" s="119">
        <f t="shared" si="25"/>
        <v>0</v>
      </c>
      <c r="L179" s="29">
        <v>300</v>
      </c>
      <c r="M179" s="80"/>
      <c r="N179" s="36"/>
      <c r="O179" s="35">
        <f t="shared" si="26"/>
        <v>0.001209563559917944</v>
      </c>
      <c r="P179" s="90"/>
    </row>
    <row r="180" spans="1:16" ht="12.75" customHeight="1">
      <c r="A180" s="145"/>
      <c r="B180" s="148"/>
      <c r="C180" s="4">
        <v>4610</v>
      </c>
      <c r="D180" s="4" t="s">
        <v>221</v>
      </c>
      <c r="E180" s="6"/>
      <c r="F180" s="6">
        <v>200</v>
      </c>
      <c r="G180" s="6">
        <v>200</v>
      </c>
      <c r="H180" s="6">
        <v>28.6</v>
      </c>
      <c r="I180" s="39">
        <f t="shared" si="32"/>
        <v>14.3</v>
      </c>
      <c r="J180" s="6"/>
      <c r="K180" s="119">
        <f t="shared" si="25"/>
        <v>0</v>
      </c>
      <c r="L180" s="29">
        <v>300</v>
      </c>
      <c r="M180" s="80"/>
      <c r="N180" s="36"/>
      <c r="O180" s="35">
        <f t="shared" si="26"/>
        <v>0.001209563559917944</v>
      </c>
      <c r="P180" s="90"/>
    </row>
    <row r="181" spans="1:16" ht="22.5">
      <c r="A181" s="145"/>
      <c r="B181" s="148"/>
      <c r="C181" s="4">
        <v>4700</v>
      </c>
      <c r="D181" s="4" t="s">
        <v>140</v>
      </c>
      <c r="E181" s="6">
        <v>16280.55</v>
      </c>
      <c r="F181" s="6">
        <v>18000</v>
      </c>
      <c r="G181" s="6">
        <v>18000</v>
      </c>
      <c r="H181" s="6">
        <v>10409.6</v>
      </c>
      <c r="I181" s="39">
        <f t="shared" si="32"/>
        <v>57.83111111111111</v>
      </c>
      <c r="J181" s="6">
        <v>13000</v>
      </c>
      <c r="K181" s="119">
        <f t="shared" si="25"/>
        <v>0.04881268061945001</v>
      </c>
      <c r="L181" s="29">
        <v>18000</v>
      </c>
      <c r="M181" s="80"/>
      <c r="N181" s="36">
        <f>(L181/J181)*100</f>
        <v>138.46153846153845</v>
      </c>
      <c r="O181" s="35">
        <f t="shared" si="26"/>
        <v>0.07257381359507664</v>
      </c>
      <c r="P181" s="90"/>
    </row>
    <row r="182" spans="1:16" ht="21">
      <c r="A182" s="145"/>
      <c r="B182" s="148"/>
      <c r="C182" s="24" t="s">
        <v>39</v>
      </c>
      <c r="D182" s="24" t="s">
        <v>141</v>
      </c>
      <c r="E182" s="25">
        <v>5110</v>
      </c>
      <c r="F182" s="25">
        <v>12720</v>
      </c>
      <c r="G182" s="25">
        <v>12720</v>
      </c>
      <c r="H182" s="25">
        <v>1586.7</v>
      </c>
      <c r="I182" s="39">
        <f t="shared" si="32"/>
        <v>12.474056603773585</v>
      </c>
      <c r="J182" s="25">
        <f>J183</f>
        <v>2500</v>
      </c>
      <c r="K182" s="119">
        <f t="shared" si="25"/>
        <v>0.00938705396527885</v>
      </c>
      <c r="L182" s="25">
        <f>L183</f>
        <v>10000</v>
      </c>
      <c r="M182" s="78">
        <f>M183</f>
        <v>0</v>
      </c>
      <c r="N182" s="39">
        <f>(L182/J182)*100</f>
        <v>400</v>
      </c>
      <c r="O182" s="35">
        <f t="shared" si="26"/>
        <v>0.040318785330598135</v>
      </c>
      <c r="P182" s="90"/>
    </row>
    <row r="183" spans="1:16" ht="12.75">
      <c r="A183" s="145"/>
      <c r="B183" s="149"/>
      <c r="C183" s="4"/>
      <c r="D183" s="23" t="s">
        <v>284</v>
      </c>
      <c r="E183" s="27"/>
      <c r="F183" s="27"/>
      <c r="G183" s="27"/>
      <c r="H183" s="27"/>
      <c r="I183" s="39" t="e">
        <f t="shared" si="32"/>
        <v>#DIV/0!</v>
      </c>
      <c r="J183" s="27">
        <v>2500</v>
      </c>
      <c r="K183" s="119">
        <f t="shared" si="25"/>
        <v>0.00938705396527885</v>
      </c>
      <c r="L183" s="28">
        <v>10000</v>
      </c>
      <c r="M183" s="82"/>
      <c r="N183" s="39">
        <f>(L183/J183)*100</f>
        <v>400</v>
      </c>
      <c r="O183" s="35">
        <f t="shared" si="26"/>
        <v>0.040318785330598135</v>
      </c>
      <c r="P183" s="90"/>
    </row>
    <row r="184" spans="1:16" ht="12.75">
      <c r="A184" s="145"/>
      <c r="B184" s="147" t="s">
        <v>142</v>
      </c>
      <c r="C184" s="3"/>
      <c r="D184" s="3" t="s">
        <v>10</v>
      </c>
      <c r="E184" s="5" t="e">
        <f>E189+E191+E192+E193+E196+E200+#REF!+E204+E188+E190+E194+E195+E198+E199+E202+E203+E205</f>
        <v>#REF!</v>
      </c>
      <c r="F184" s="5" t="e">
        <f>F189+F191+F192+F193+F196+F200+#REF!+F204+F188+F190+F194+F195+F198+F199+F202+F203+F205</f>
        <v>#REF!</v>
      </c>
      <c r="G184" s="5" t="e">
        <f>G189+G191+G192+G193+G196+G200+#REF!+G204+G188+G190+G194+G195+G198+G199+G202+G203+G205</f>
        <v>#REF!</v>
      </c>
      <c r="H184" s="5" t="e">
        <f>H189+H191+H192+H193+H196+H200+#REF!+H204+H188+H190+H194+H195+H198+H199+H202+H203+H205</f>
        <v>#REF!</v>
      </c>
      <c r="I184" s="5" t="e">
        <f>I189+I191+I192+I193+I196+I200+#REF!+I204+I188+I190+I194+I195+I198+I199+I202+I203+I205</f>
        <v>#REF!</v>
      </c>
      <c r="J184" s="5">
        <f>J189+J191+J192+J193+J196+J200+J204+J188+J190+J194+J195+J198+J199+J202+J203+J205</f>
        <v>153872.94999999998</v>
      </c>
      <c r="K184" s="120">
        <f t="shared" si="25"/>
        <v>0.5777654741786615</v>
      </c>
      <c r="L184" s="5">
        <f>L189+L191+L192+L193+L196+L200+L204+L188+L190+L194+L195+L198+L199+L202+L203+L205</f>
        <v>120810</v>
      </c>
      <c r="M184" s="45" t="e">
        <f>M189+M191+M192+M193+M196+M200+#REF!+M204+M188+M190+M194+M195+M198+M199+M202+M203+M205</f>
        <v>#REF!</v>
      </c>
      <c r="N184" s="39">
        <f>(L184/J184)*100</f>
        <v>78.51282502870063</v>
      </c>
      <c r="O184" s="67">
        <f t="shared" si="26"/>
        <v>0.48709124557895606</v>
      </c>
      <c r="P184" s="90"/>
    </row>
    <row r="185" spans="1:16" s="18" customFormat="1" ht="12.75">
      <c r="A185" s="145"/>
      <c r="B185" s="150"/>
      <c r="C185" s="8"/>
      <c r="D185" s="23" t="s">
        <v>256</v>
      </c>
      <c r="E185" s="11"/>
      <c r="F185" s="11"/>
      <c r="G185" s="11"/>
      <c r="H185" s="11"/>
      <c r="I185" s="11" t="e">
        <f>#REF!</f>
        <v>#REF!</v>
      </c>
      <c r="J185" s="11"/>
      <c r="K185" s="119">
        <f t="shared" si="25"/>
        <v>0</v>
      </c>
      <c r="L185" s="11"/>
      <c r="M185" s="109"/>
      <c r="N185" s="39"/>
      <c r="O185" s="35">
        <f t="shared" si="26"/>
        <v>0</v>
      </c>
      <c r="P185" s="92"/>
    </row>
    <row r="186" spans="1:16" s="18" customFormat="1" ht="12.75">
      <c r="A186" s="145"/>
      <c r="B186" s="150"/>
      <c r="C186" s="8"/>
      <c r="D186" s="23" t="s">
        <v>255</v>
      </c>
      <c r="E186" s="11" t="e">
        <f>E189+E191+E192+E193+E196+E200+#REF!+E204+E188+E190+E194+E195+E198+E199+E202+E203+E205</f>
        <v>#REF!</v>
      </c>
      <c r="F186" s="11" t="e">
        <f>F189+F191+F192+F193+F196+F200+#REF!+F204+F188+F190+F194+F195+F198+F199+F202+F203+F205</f>
        <v>#REF!</v>
      </c>
      <c r="G186" s="11" t="e">
        <f>G189+G191+G192+G193+G196+G200+#REF!+G204+G188+G190+G194+G195+G198+G199+G202+G203+G205</f>
        <v>#REF!</v>
      </c>
      <c r="H186" s="11" t="e">
        <f>H189+H191+H192+H193+H196+H200+#REF!+H204+H188+H190+H194+H195+H198+H199+H202+H203+H205</f>
        <v>#REF!</v>
      </c>
      <c r="I186" s="11" t="e">
        <f>I189+I191+I192+I193+I196+I200+#REF!+I204+I188+I190+I194+I195+I198+I199+I202+I203+I205</f>
        <v>#REF!</v>
      </c>
      <c r="J186" s="11">
        <f>J189+J191+J192+J193+J196+J200+J204+J188+J190+J194+J195+J198+J199+J202+J203+J205</f>
        <v>153872.94999999998</v>
      </c>
      <c r="K186" s="119">
        <f t="shared" si="25"/>
        <v>0.5777654741786615</v>
      </c>
      <c r="L186" s="11">
        <f>L189+L191+L192+L193+L196+L200+L204+L188+L190+L194+L195+L198+L199+L202+L203+L205</f>
        <v>120810</v>
      </c>
      <c r="M186" s="109" t="e">
        <f>M189+M191+M192+M193+M196+M200+#REF!+M204+M188+M190+M194+M195+M198+M199+M202+M203+M205</f>
        <v>#REF!</v>
      </c>
      <c r="N186" s="39">
        <f>(L186/J186)*100</f>
        <v>78.51282502870063</v>
      </c>
      <c r="O186" s="35">
        <f t="shared" si="26"/>
        <v>0.48709124557895606</v>
      </c>
      <c r="P186" s="92"/>
    </row>
    <row r="187" spans="1:16" s="18" customFormat="1" ht="12.75">
      <c r="A187" s="145"/>
      <c r="B187" s="150"/>
      <c r="C187" s="8"/>
      <c r="D187" s="8" t="s">
        <v>231</v>
      </c>
      <c r="E187" s="11"/>
      <c r="F187" s="11"/>
      <c r="G187" s="11"/>
      <c r="H187" s="11"/>
      <c r="I187" s="39" t="e">
        <f>(H187/G187)*100</f>
        <v>#DIV/0!</v>
      </c>
      <c r="J187" s="11"/>
      <c r="K187" s="119">
        <f t="shared" si="25"/>
        <v>0</v>
      </c>
      <c r="L187" s="11"/>
      <c r="M187" s="59"/>
      <c r="N187" s="114"/>
      <c r="O187" s="35">
        <f t="shared" si="26"/>
        <v>0</v>
      </c>
      <c r="P187" s="92"/>
    </row>
    <row r="188" spans="1:16" s="108" customFormat="1" ht="56.25">
      <c r="A188" s="145"/>
      <c r="B188" s="150"/>
      <c r="C188" s="4">
        <v>2360</v>
      </c>
      <c r="D188" s="4" t="s">
        <v>359</v>
      </c>
      <c r="E188" s="6"/>
      <c r="F188" s="6"/>
      <c r="G188" s="6">
        <v>11500</v>
      </c>
      <c r="H188" s="6">
        <v>10000</v>
      </c>
      <c r="I188" s="39"/>
      <c r="J188" s="6">
        <v>10000</v>
      </c>
      <c r="K188" s="119">
        <f t="shared" si="25"/>
        <v>0.0375482158611154</v>
      </c>
      <c r="L188" s="6"/>
      <c r="M188" s="60"/>
      <c r="N188" s="36"/>
      <c r="O188" s="35">
        <f t="shared" si="26"/>
        <v>0</v>
      </c>
      <c r="P188" s="90"/>
    </row>
    <row r="189" spans="1:16" ht="12.75">
      <c r="A189" s="145"/>
      <c r="B189" s="148"/>
      <c r="C189" s="4" t="s">
        <v>143</v>
      </c>
      <c r="D189" s="4" t="s">
        <v>144</v>
      </c>
      <c r="E189" s="6">
        <v>4142.5</v>
      </c>
      <c r="F189" s="6">
        <v>4500</v>
      </c>
      <c r="G189" s="6">
        <v>4500</v>
      </c>
      <c r="H189" s="6">
        <v>4038</v>
      </c>
      <c r="I189" s="39">
        <f>(H189/G189)*100</f>
        <v>89.73333333333333</v>
      </c>
      <c r="J189" s="6">
        <v>4038</v>
      </c>
      <c r="K189" s="119">
        <f t="shared" si="25"/>
        <v>0.015161969564718396</v>
      </c>
      <c r="L189" s="29">
        <v>4500</v>
      </c>
      <c r="M189" s="80"/>
      <c r="N189" s="36">
        <f>(L189/J189)*100</f>
        <v>111.44130757800892</v>
      </c>
      <c r="O189" s="35">
        <f t="shared" si="26"/>
        <v>0.01814345339876916</v>
      </c>
      <c r="P189" s="90"/>
    </row>
    <row r="190" spans="1:16" ht="12.75">
      <c r="A190" s="145"/>
      <c r="B190" s="148"/>
      <c r="C190" s="4">
        <v>4100</v>
      </c>
      <c r="D190" s="4" t="s">
        <v>358</v>
      </c>
      <c r="E190" s="6"/>
      <c r="F190" s="6">
        <v>46000</v>
      </c>
      <c r="G190" s="6">
        <v>46000</v>
      </c>
      <c r="H190" s="6">
        <v>38729.84</v>
      </c>
      <c r="I190" s="39"/>
      <c r="J190" s="6">
        <v>46000</v>
      </c>
      <c r="K190" s="119">
        <f t="shared" si="25"/>
        <v>0.17272179296113083</v>
      </c>
      <c r="L190" s="29">
        <v>48000</v>
      </c>
      <c r="M190" s="80"/>
      <c r="N190" s="36">
        <f aca="true" t="shared" si="33" ref="N190:N196">(L190/J190)*100</f>
        <v>104.34782608695652</v>
      </c>
      <c r="O190" s="35">
        <f t="shared" si="26"/>
        <v>0.19353016958687103</v>
      </c>
      <c r="P190" s="90"/>
    </row>
    <row r="191" spans="1:16" ht="12.75">
      <c r="A191" s="145"/>
      <c r="B191" s="148"/>
      <c r="C191" s="4" t="s">
        <v>98</v>
      </c>
      <c r="D191" s="4" t="s">
        <v>145</v>
      </c>
      <c r="E191" s="6">
        <v>190.69</v>
      </c>
      <c r="F191" s="6">
        <v>700</v>
      </c>
      <c r="G191" s="6">
        <v>700</v>
      </c>
      <c r="H191" s="6">
        <v>484.96</v>
      </c>
      <c r="I191" s="39">
        <f aca="true" t="shared" si="34" ref="I191:I196">(H191/G191)*100</f>
        <v>69.28</v>
      </c>
      <c r="J191" s="6">
        <v>700</v>
      </c>
      <c r="K191" s="119">
        <f t="shared" si="25"/>
        <v>0.0026283751102780775</v>
      </c>
      <c r="L191" s="29">
        <v>700</v>
      </c>
      <c r="M191" s="80"/>
      <c r="N191" s="36">
        <f t="shared" si="33"/>
        <v>100</v>
      </c>
      <c r="O191" s="35">
        <f t="shared" si="26"/>
        <v>0.002822314973141869</v>
      </c>
      <c r="P191" s="90"/>
    </row>
    <row r="192" spans="1:16" ht="12.75">
      <c r="A192" s="145"/>
      <c r="B192" s="148"/>
      <c r="C192" s="4" t="s">
        <v>99</v>
      </c>
      <c r="D192" s="4" t="s">
        <v>106</v>
      </c>
      <c r="E192" s="6">
        <v>30.39</v>
      </c>
      <c r="F192" s="6">
        <v>110</v>
      </c>
      <c r="G192" s="6">
        <v>110</v>
      </c>
      <c r="H192" s="6"/>
      <c r="I192" s="39">
        <f t="shared" si="34"/>
        <v>0</v>
      </c>
      <c r="J192" s="6">
        <v>110</v>
      </c>
      <c r="K192" s="119">
        <f t="shared" si="25"/>
        <v>0.00041303037447226927</v>
      </c>
      <c r="L192" s="29">
        <v>110</v>
      </c>
      <c r="M192" s="80"/>
      <c r="N192" s="36">
        <f t="shared" si="33"/>
        <v>100</v>
      </c>
      <c r="O192" s="35">
        <f t="shared" si="26"/>
        <v>0.00044350663863657947</v>
      </c>
      <c r="P192" s="90"/>
    </row>
    <row r="193" spans="1:16" ht="12.75">
      <c r="A193" s="145"/>
      <c r="B193" s="148"/>
      <c r="C193" s="4" t="s">
        <v>100</v>
      </c>
      <c r="D193" s="4" t="s">
        <v>146</v>
      </c>
      <c r="E193" s="6">
        <v>2648</v>
      </c>
      <c r="F193" s="6">
        <v>6000</v>
      </c>
      <c r="G193" s="6">
        <v>6000</v>
      </c>
      <c r="H193" s="6">
        <v>2790.4</v>
      </c>
      <c r="I193" s="39">
        <f t="shared" si="34"/>
        <v>46.50666666666667</v>
      </c>
      <c r="J193" s="6">
        <v>6000</v>
      </c>
      <c r="K193" s="119">
        <f t="shared" si="25"/>
        <v>0.022528929516669235</v>
      </c>
      <c r="L193" s="29">
        <v>6000</v>
      </c>
      <c r="M193" s="80"/>
      <c r="N193" s="36">
        <f t="shared" si="33"/>
        <v>100</v>
      </c>
      <c r="O193" s="35">
        <f t="shared" si="26"/>
        <v>0.024191271198358878</v>
      </c>
      <c r="P193" s="90"/>
    </row>
    <row r="194" spans="1:16" ht="12.75">
      <c r="A194" s="145"/>
      <c r="B194" s="148"/>
      <c r="C194" s="4">
        <v>4177</v>
      </c>
      <c r="D194" s="4" t="s">
        <v>146</v>
      </c>
      <c r="E194" s="6"/>
      <c r="F194" s="6"/>
      <c r="G194" s="6">
        <v>2061</v>
      </c>
      <c r="H194" s="6"/>
      <c r="I194" s="39">
        <f t="shared" si="34"/>
        <v>0</v>
      </c>
      <c r="J194" s="6">
        <v>2061</v>
      </c>
      <c r="K194" s="119">
        <f t="shared" si="25"/>
        <v>0.0077386872889758825</v>
      </c>
      <c r="L194" s="29"/>
      <c r="M194" s="80"/>
      <c r="N194" s="36">
        <f t="shared" si="33"/>
        <v>0</v>
      </c>
      <c r="O194" s="35">
        <f t="shared" si="26"/>
        <v>0</v>
      </c>
      <c r="P194" s="90"/>
    </row>
    <row r="195" spans="1:16" ht="12.75">
      <c r="A195" s="145"/>
      <c r="B195" s="148"/>
      <c r="C195" s="4">
        <v>4179</v>
      </c>
      <c r="D195" s="4" t="s">
        <v>146</v>
      </c>
      <c r="E195" s="6"/>
      <c r="F195" s="6"/>
      <c r="G195" s="6">
        <v>3180</v>
      </c>
      <c r="H195" s="6"/>
      <c r="I195" s="39">
        <f t="shared" si="34"/>
        <v>0</v>
      </c>
      <c r="J195" s="6">
        <v>3180</v>
      </c>
      <c r="K195" s="119">
        <f t="shared" si="25"/>
        <v>0.011940332643834694</v>
      </c>
      <c r="L195" s="29"/>
      <c r="M195" s="80"/>
      <c r="N195" s="36">
        <f t="shared" si="33"/>
        <v>0</v>
      </c>
      <c r="O195" s="35">
        <f t="shared" si="26"/>
        <v>0</v>
      </c>
      <c r="P195" s="90"/>
    </row>
    <row r="196" spans="1:16" ht="12.75">
      <c r="A196" s="145"/>
      <c r="B196" s="148"/>
      <c r="C196" s="4" t="s">
        <v>101</v>
      </c>
      <c r="D196" s="4" t="s">
        <v>74</v>
      </c>
      <c r="E196" s="6">
        <v>12638.9</v>
      </c>
      <c r="F196" s="6">
        <v>36450</v>
      </c>
      <c r="G196" s="6">
        <v>25950</v>
      </c>
      <c r="H196" s="6">
        <v>21520.53</v>
      </c>
      <c r="I196" s="39">
        <f t="shared" si="34"/>
        <v>82.9307514450867</v>
      </c>
      <c r="J196" s="6">
        <v>25500</v>
      </c>
      <c r="K196" s="119">
        <f t="shared" si="25"/>
        <v>0.09574795044584425</v>
      </c>
      <c r="L196" s="29">
        <v>27000</v>
      </c>
      <c r="M196" s="80"/>
      <c r="N196" s="36">
        <f t="shared" si="33"/>
        <v>105.88235294117648</v>
      </c>
      <c r="O196" s="35">
        <f t="shared" si="26"/>
        <v>0.10886072039261495</v>
      </c>
      <c r="P196" s="90"/>
    </row>
    <row r="197" spans="1:16" ht="21">
      <c r="A197" s="145"/>
      <c r="B197" s="148"/>
      <c r="C197" s="4"/>
      <c r="D197" s="3" t="s">
        <v>319</v>
      </c>
      <c r="E197" s="6"/>
      <c r="F197" s="6">
        <v>450</v>
      </c>
      <c r="G197" s="6"/>
      <c r="H197" s="6"/>
      <c r="I197" s="39"/>
      <c r="J197" s="6"/>
      <c r="K197" s="119">
        <f aca="true" t="shared" si="35" ref="K197:K260">(J197/$J$769)*100</f>
        <v>0</v>
      </c>
      <c r="L197" s="29"/>
      <c r="M197" s="80"/>
      <c r="N197" s="36"/>
      <c r="O197" s="35">
        <f aca="true" t="shared" si="36" ref="O197:O260">L197/$L$769*100</f>
        <v>0</v>
      </c>
      <c r="P197" s="90"/>
    </row>
    <row r="198" spans="1:16" ht="12.75">
      <c r="A198" s="145"/>
      <c r="B198" s="148"/>
      <c r="C198" s="4">
        <v>4217</v>
      </c>
      <c r="D198" s="4" t="s">
        <v>74</v>
      </c>
      <c r="E198" s="6"/>
      <c r="F198" s="6"/>
      <c r="G198" s="6">
        <v>630</v>
      </c>
      <c r="H198" s="6">
        <v>487.72</v>
      </c>
      <c r="I198" s="39">
        <f>(H198/G198)*100</f>
        <v>77.41587301587302</v>
      </c>
      <c r="J198" s="6">
        <v>630</v>
      </c>
      <c r="K198" s="119">
        <f t="shared" si="35"/>
        <v>0.0023655375992502697</v>
      </c>
      <c r="L198" s="29"/>
      <c r="M198" s="80"/>
      <c r="N198" s="36"/>
      <c r="O198" s="35">
        <f t="shared" si="36"/>
        <v>0</v>
      </c>
      <c r="P198" s="90"/>
    </row>
    <row r="199" spans="1:16" ht="12.75">
      <c r="A199" s="145"/>
      <c r="B199" s="148"/>
      <c r="C199" s="4">
        <v>4219</v>
      </c>
      <c r="D199" s="4" t="s">
        <v>74</v>
      </c>
      <c r="E199" s="6"/>
      <c r="F199" s="6"/>
      <c r="G199" s="6">
        <v>477</v>
      </c>
      <c r="H199" s="6">
        <v>369.27</v>
      </c>
      <c r="I199" s="39">
        <f>(H199/G199)*100</f>
        <v>77.41509433962264</v>
      </c>
      <c r="J199" s="6">
        <v>477</v>
      </c>
      <c r="K199" s="119">
        <f t="shared" si="35"/>
        <v>0.0017910498965752043</v>
      </c>
      <c r="L199" s="29"/>
      <c r="M199" s="80"/>
      <c r="N199" s="36"/>
      <c r="O199" s="35">
        <f t="shared" si="36"/>
        <v>0</v>
      </c>
      <c r="P199" s="90"/>
    </row>
    <row r="200" spans="1:16" ht="12.75">
      <c r="A200" s="145"/>
      <c r="B200" s="148"/>
      <c r="C200" s="4" t="s">
        <v>78</v>
      </c>
      <c r="D200" s="4" t="s">
        <v>87</v>
      </c>
      <c r="E200" s="6">
        <v>10004.28</v>
      </c>
      <c r="F200" s="6">
        <v>11870</v>
      </c>
      <c r="G200" s="6">
        <v>11870</v>
      </c>
      <c r="H200" s="6">
        <v>8634.96</v>
      </c>
      <c r="I200" s="39">
        <f>(H200/G200)*100</f>
        <v>72.74608256107834</v>
      </c>
      <c r="J200" s="6">
        <v>10600</v>
      </c>
      <c r="K200" s="119">
        <f t="shared" si="35"/>
        <v>0.039801108812782315</v>
      </c>
      <c r="L200" s="29">
        <v>12000</v>
      </c>
      <c r="M200" s="80"/>
      <c r="N200" s="36">
        <f>(L200/J200)*100</f>
        <v>113.20754716981132</v>
      </c>
      <c r="O200" s="35">
        <f t="shared" si="36"/>
        <v>0.048382542396717756</v>
      </c>
      <c r="P200" s="90"/>
    </row>
    <row r="201" spans="1:16" ht="21">
      <c r="A201" s="145"/>
      <c r="B201" s="148"/>
      <c r="C201" s="4"/>
      <c r="D201" s="3" t="s">
        <v>319</v>
      </c>
      <c r="E201" s="6"/>
      <c r="F201" s="6">
        <v>1270</v>
      </c>
      <c r="G201" s="6"/>
      <c r="H201" s="6"/>
      <c r="I201" s="39"/>
      <c r="J201" s="6">
        <v>300</v>
      </c>
      <c r="K201" s="119">
        <f t="shared" si="35"/>
        <v>0.0011264464758334617</v>
      </c>
      <c r="L201" s="29"/>
      <c r="M201" s="80"/>
      <c r="N201" s="36"/>
      <c r="O201" s="35">
        <f t="shared" si="36"/>
        <v>0</v>
      </c>
      <c r="P201" s="90"/>
    </row>
    <row r="202" spans="1:16" ht="12.75">
      <c r="A202" s="145"/>
      <c r="B202" s="148"/>
      <c r="C202" s="4">
        <v>4307</v>
      </c>
      <c r="D202" s="4" t="s">
        <v>87</v>
      </c>
      <c r="E202" s="6"/>
      <c r="F202" s="6"/>
      <c r="G202" s="6">
        <v>14075.96</v>
      </c>
      <c r="H202" s="6">
        <v>14068.61</v>
      </c>
      <c r="I202" s="39">
        <f>(H202/G202)*100</f>
        <v>99.94778331282556</v>
      </c>
      <c r="J202" s="6">
        <v>14068.61</v>
      </c>
      <c r="K202" s="119">
        <f t="shared" si="35"/>
        <v>0.05282512051458467</v>
      </c>
      <c r="L202" s="29"/>
      <c r="M202" s="80"/>
      <c r="N202" s="36"/>
      <c r="O202" s="35">
        <f t="shared" si="36"/>
        <v>0</v>
      </c>
      <c r="P202" s="90"/>
    </row>
    <row r="203" spans="1:16" ht="12.75">
      <c r="A203" s="145"/>
      <c r="B203" s="148"/>
      <c r="C203" s="4">
        <v>4309</v>
      </c>
      <c r="D203" s="4" t="s">
        <v>87</v>
      </c>
      <c r="E203" s="6"/>
      <c r="F203" s="6"/>
      <c r="G203" s="6">
        <v>8508.34</v>
      </c>
      <c r="H203" s="6">
        <v>6594.19</v>
      </c>
      <c r="I203" s="39">
        <f>(H203/G203)*100</f>
        <v>77.50266209389845</v>
      </c>
      <c r="J203" s="6">
        <v>8508.34</v>
      </c>
      <c r="K203" s="119">
        <f t="shared" si="35"/>
        <v>0.03194729869397626</v>
      </c>
      <c r="L203" s="29"/>
      <c r="M203" s="80"/>
      <c r="N203" s="36"/>
      <c r="O203" s="35">
        <f t="shared" si="36"/>
        <v>0</v>
      </c>
      <c r="P203" s="90"/>
    </row>
    <row r="204" spans="1:16" ht="12.75">
      <c r="A204" s="145"/>
      <c r="B204" s="148"/>
      <c r="C204" s="4">
        <v>4430</v>
      </c>
      <c r="D204" s="4" t="s">
        <v>88</v>
      </c>
      <c r="E204" s="6"/>
      <c r="F204" s="6">
        <v>22500</v>
      </c>
      <c r="G204" s="6">
        <v>20500</v>
      </c>
      <c r="H204" s="6">
        <v>12204.64</v>
      </c>
      <c r="I204" s="39">
        <f>(H204/G204)*100</f>
        <v>59.534829268292675</v>
      </c>
      <c r="J204" s="6">
        <v>20500</v>
      </c>
      <c r="K204" s="119">
        <f t="shared" si="35"/>
        <v>0.07697384251528655</v>
      </c>
      <c r="L204" s="29">
        <v>21000</v>
      </c>
      <c r="M204" s="80"/>
      <c r="N204" s="36"/>
      <c r="O204" s="35">
        <f t="shared" si="36"/>
        <v>0.08466944919425608</v>
      </c>
      <c r="P204" s="90"/>
    </row>
    <row r="205" spans="1:16" ht="12.75">
      <c r="A205" s="146"/>
      <c r="B205" s="149"/>
      <c r="C205" s="4">
        <v>4610</v>
      </c>
      <c r="D205" s="4" t="s">
        <v>221</v>
      </c>
      <c r="E205" s="6"/>
      <c r="F205" s="6"/>
      <c r="G205" s="6">
        <v>1500</v>
      </c>
      <c r="H205" s="6">
        <v>63.63</v>
      </c>
      <c r="I205" s="39">
        <f>(H205/G205)*100</f>
        <v>4.242</v>
      </c>
      <c r="J205" s="6">
        <v>1500</v>
      </c>
      <c r="K205" s="119">
        <f t="shared" si="35"/>
        <v>0.005632232379167309</v>
      </c>
      <c r="L205" s="29">
        <v>1500</v>
      </c>
      <c r="M205" s="80"/>
      <c r="N205" s="36"/>
      <c r="O205" s="35">
        <f t="shared" si="36"/>
        <v>0.0060478177995897196</v>
      </c>
      <c r="P205" s="90"/>
    </row>
    <row r="206" spans="1:16" ht="34.5" customHeight="1">
      <c r="A206" s="143" t="s">
        <v>149</v>
      </c>
      <c r="B206" s="4"/>
      <c r="C206" s="4"/>
      <c r="D206" s="3" t="s">
        <v>217</v>
      </c>
      <c r="E206" s="5" t="e">
        <f aca="true" t="shared" si="37" ref="E206:M206">E209</f>
        <v>#REF!</v>
      </c>
      <c r="F206" s="5" t="e">
        <f t="shared" si="37"/>
        <v>#REF!</v>
      </c>
      <c r="G206" s="5" t="e">
        <f t="shared" si="37"/>
        <v>#REF!</v>
      </c>
      <c r="H206" s="5" t="e">
        <f t="shared" si="37"/>
        <v>#REF!</v>
      </c>
      <c r="I206" s="5" t="e">
        <f t="shared" si="37"/>
        <v>#REF!</v>
      </c>
      <c r="J206" s="5">
        <f t="shared" si="37"/>
        <v>1350</v>
      </c>
      <c r="K206" s="120">
        <f t="shared" si="35"/>
        <v>0.005069009141250577</v>
      </c>
      <c r="L206" s="5">
        <f t="shared" si="37"/>
        <v>1350</v>
      </c>
      <c r="M206" s="45" t="e">
        <f t="shared" si="37"/>
        <v>#REF!</v>
      </c>
      <c r="N206" s="38">
        <f>(L206/J206)*100</f>
        <v>100</v>
      </c>
      <c r="O206" s="67">
        <f t="shared" si="36"/>
        <v>0.005443036019630748</v>
      </c>
      <c r="P206" s="90"/>
    </row>
    <row r="207" spans="1:16" ht="12.75">
      <c r="A207" s="144"/>
      <c r="B207" s="4"/>
      <c r="C207" s="4"/>
      <c r="D207" s="8" t="s">
        <v>230</v>
      </c>
      <c r="E207" s="6" t="e">
        <f aca="true" t="shared" si="38" ref="E207:M207">E209</f>
        <v>#REF!</v>
      </c>
      <c r="F207" s="6" t="e">
        <f t="shared" si="38"/>
        <v>#REF!</v>
      </c>
      <c r="G207" s="6" t="e">
        <f t="shared" si="38"/>
        <v>#REF!</v>
      </c>
      <c r="H207" s="6" t="e">
        <f t="shared" si="38"/>
        <v>#REF!</v>
      </c>
      <c r="I207" s="6" t="e">
        <f t="shared" si="38"/>
        <v>#REF!</v>
      </c>
      <c r="J207" s="6">
        <f t="shared" si="38"/>
        <v>1350</v>
      </c>
      <c r="K207" s="119">
        <f t="shared" si="35"/>
        <v>0.005069009141250577</v>
      </c>
      <c r="L207" s="6">
        <f t="shared" si="38"/>
        <v>1350</v>
      </c>
      <c r="M207" s="43" t="e">
        <f t="shared" si="38"/>
        <v>#REF!</v>
      </c>
      <c r="N207" s="36">
        <f>(L207/J207)*100</f>
        <v>100</v>
      </c>
      <c r="O207" s="35">
        <f t="shared" si="36"/>
        <v>0.005443036019630748</v>
      </c>
      <c r="P207" s="90"/>
    </row>
    <row r="208" spans="1:16" ht="12.75">
      <c r="A208" s="144"/>
      <c r="B208" s="4"/>
      <c r="C208" s="4"/>
      <c r="D208" s="8" t="s">
        <v>231</v>
      </c>
      <c r="E208" s="5">
        <v>0</v>
      </c>
      <c r="F208" s="5">
        <v>0</v>
      </c>
      <c r="G208" s="5">
        <v>0</v>
      </c>
      <c r="H208" s="5">
        <v>0</v>
      </c>
      <c r="I208" s="39" t="e">
        <f aca="true" t="shared" si="39" ref="I208:I224">(H208/G208)*100</f>
        <v>#DIV/0!</v>
      </c>
      <c r="J208" s="5">
        <v>0</v>
      </c>
      <c r="K208" s="119">
        <f t="shared" si="35"/>
        <v>0</v>
      </c>
      <c r="L208" s="5">
        <v>0</v>
      </c>
      <c r="M208" s="81">
        <v>0</v>
      </c>
      <c r="N208" s="36"/>
      <c r="O208" s="35">
        <f t="shared" si="36"/>
        <v>0</v>
      </c>
      <c r="P208" s="90"/>
    </row>
    <row r="209" spans="1:16" ht="12.75">
      <c r="A209" s="145"/>
      <c r="B209" s="147" t="s">
        <v>147</v>
      </c>
      <c r="C209" s="3"/>
      <c r="D209" s="3" t="s">
        <v>148</v>
      </c>
      <c r="E209" s="5" t="e">
        <f>E210+E212+E213+E211+#REF!+#REF!</f>
        <v>#REF!</v>
      </c>
      <c r="F209" s="5" t="e">
        <f>F210+F212+F213+F211+#REF!+#REF!</f>
        <v>#REF!</v>
      </c>
      <c r="G209" s="5" t="e">
        <f>G210+G212+G213+G211+#REF!+#REF!</f>
        <v>#REF!</v>
      </c>
      <c r="H209" s="5" t="e">
        <f>H210+H212+H213+H211+#REF!+#REF!</f>
        <v>#REF!</v>
      </c>
      <c r="I209" s="39" t="e">
        <f t="shared" si="39"/>
        <v>#REF!</v>
      </c>
      <c r="J209" s="5">
        <f>J210+J212+J213+J211</f>
        <v>1350</v>
      </c>
      <c r="K209" s="120">
        <f t="shared" si="35"/>
        <v>0.005069009141250577</v>
      </c>
      <c r="L209" s="5">
        <f>L210+L212+L213+L211</f>
        <v>1350</v>
      </c>
      <c r="M209" s="45" t="e">
        <f>M210+M212+M213+M211+#REF!+#REF!</f>
        <v>#REF!</v>
      </c>
      <c r="N209" s="38">
        <f aca="true" t="shared" si="40" ref="N209:N219">(L209/J209)*100</f>
        <v>100</v>
      </c>
      <c r="O209" s="67">
        <f t="shared" si="36"/>
        <v>0.005443036019630748</v>
      </c>
      <c r="P209" s="90"/>
    </row>
    <row r="210" spans="1:16" ht="12.75">
      <c r="A210" s="145"/>
      <c r="B210" s="148"/>
      <c r="C210" s="4" t="s">
        <v>98</v>
      </c>
      <c r="D210" s="4" t="s">
        <v>95</v>
      </c>
      <c r="E210" s="6">
        <v>166.37</v>
      </c>
      <c r="F210" s="6">
        <v>181.8</v>
      </c>
      <c r="G210" s="6">
        <v>181.8</v>
      </c>
      <c r="H210" s="6">
        <v>133.33</v>
      </c>
      <c r="I210" s="39">
        <f t="shared" si="39"/>
        <v>73.33883388338835</v>
      </c>
      <c r="J210" s="6">
        <v>181.8</v>
      </c>
      <c r="K210" s="119">
        <f t="shared" si="35"/>
        <v>0.000682626564355078</v>
      </c>
      <c r="L210" s="29">
        <v>181.8</v>
      </c>
      <c r="M210" s="80"/>
      <c r="N210" s="36">
        <f t="shared" si="40"/>
        <v>100</v>
      </c>
      <c r="O210" s="35">
        <f t="shared" si="36"/>
        <v>0.0007329955173102741</v>
      </c>
      <c r="P210" s="90"/>
    </row>
    <row r="211" spans="1:16" ht="12.75">
      <c r="A211" s="145"/>
      <c r="B211" s="148"/>
      <c r="C211" s="4">
        <v>4120</v>
      </c>
      <c r="D211" s="4" t="s">
        <v>85</v>
      </c>
      <c r="E211" s="6">
        <v>18.31</v>
      </c>
      <c r="F211" s="6">
        <v>29.19</v>
      </c>
      <c r="G211" s="6">
        <v>29.19</v>
      </c>
      <c r="H211" s="6"/>
      <c r="I211" s="39">
        <f t="shared" si="39"/>
        <v>0</v>
      </c>
      <c r="J211" s="6">
        <v>29.19</v>
      </c>
      <c r="K211" s="119">
        <f t="shared" si="35"/>
        <v>0.00010960324209859582</v>
      </c>
      <c r="L211" s="29">
        <v>29.19</v>
      </c>
      <c r="M211" s="80"/>
      <c r="N211" s="36">
        <f t="shared" si="40"/>
        <v>100</v>
      </c>
      <c r="O211" s="35">
        <f t="shared" si="36"/>
        <v>0.00011769053438001595</v>
      </c>
      <c r="P211" s="90"/>
    </row>
    <row r="212" spans="1:16" ht="12.75" customHeight="1">
      <c r="A212" s="145"/>
      <c r="B212" s="148"/>
      <c r="C212" s="4" t="s">
        <v>100</v>
      </c>
      <c r="D212" s="4" t="s">
        <v>146</v>
      </c>
      <c r="E212" s="6">
        <v>1085.32</v>
      </c>
      <c r="F212" s="6">
        <v>1089.01</v>
      </c>
      <c r="G212" s="6">
        <v>1089.01</v>
      </c>
      <c r="H212" s="6">
        <v>764.67</v>
      </c>
      <c r="I212" s="39">
        <f t="shared" si="39"/>
        <v>70.21698606991671</v>
      </c>
      <c r="J212" s="6">
        <v>1089.01</v>
      </c>
      <c r="K212" s="119">
        <f t="shared" si="35"/>
        <v>0.0040890382554913274</v>
      </c>
      <c r="L212" s="29">
        <v>1089.01</v>
      </c>
      <c r="M212" s="80"/>
      <c r="N212" s="36">
        <f t="shared" si="40"/>
        <v>100</v>
      </c>
      <c r="O212" s="35">
        <f t="shared" si="36"/>
        <v>0.0043907560412874665</v>
      </c>
      <c r="P212" s="90"/>
    </row>
    <row r="213" spans="1:16" ht="12.75">
      <c r="A213" s="145"/>
      <c r="B213" s="148"/>
      <c r="C213" s="4" t="s">
        <v>101</v>
      </c>
      <c r="D213" s="4" t="s">
        <v>74</v>
      </c>
      <c r="E213" s="6">
        <v>50</v>
      </c>
      <c r="F213" s="6">
        <v>50</v>
      </c>
      <c r="G213" s="6">
        <v>50</v>
      </c>
      <c r="H213" s="6"/>
      <c r="I213" s="39">
        <f t="shared" si="39"/>
        <v>0</v>
      </c>
      <c r="J213" s="6">
        <v>50</v>
      </c>
      <c r="K213" s="119">
        <f t="shared" si="35"/>
        <v>0.00018774107930557695</v>
      </c>
      <c r="L213" s="29">
        <v>50</v>
      </c>
      <c r="M213" s="80"/>
      <c r="N213" s="36">
        <f t="shared" si="40"/>
        <v>100</v>
      </c>
      <c r="O213" s="35">
        <f t="shared" si="36"/>
        <v>0.00020159392665299063</v>
      </c>
      <c r="P213" s="90"/>
    </row>
    <row r="214" spans="1:16" ht="27" customHeight="1">
      <c r="A214" s="164">
        <v>754</v>
      </c>
      <c r="B214" s="33"/>
      <c r="C214" s="33"/>
      <c r="D214" s="3" t="s">
        <v>54</v>
      </c>
      <c r="E214" s="5" t="e">
        <f>E219+E241+E236+#REF!</f>
        <v>#REF!</v>
      </c>
      <c r="F214" s="5" t="e">
        <f>F219+F241+F236+#REF!</f>
        <v>#REF!</v>
      </c>
      <c r="G214" s="5" t="e">
        <f>G219+G241+G236+#REF!</f>
        <v>#REF!</v>
      </c>
      <c r="H214" s="5" t="e">
        <f>H219+H241+H236+#REF!</f>
        <v>#REF!</v>
      </c>
      <c r="I214" s="39" t="e">
        <f t="shared" si="39"/>
        <v>#REF!</v>
      </c>
      <c r="J214" s="5">
        <f>J219+J241+J236</f>
        <v>462132</v>
      </c>
      <c r="K214" s="120">
        <f t="shared" si="35"/>
        <v>1.735223209232898</v>
      </c>
      <c r="L214" s="5">
        <f>L219+L241+L236</f>
        <v>827887</v>
      </c>
      <c r="M214" s="45" t="e">
        <f>M219+M241+M236+#REF!</f>
        <v>#REF!</v>
      </c>
      <c r="N214" s="38">
        <f t="shared" si="40"/>
        <v>179.1451360217427</v>
      </c>
      <c r="O214" s="67">
        <f t="shared" si="36"/>
        <v>3.3379398230992896</v>
      </c>
      <c r="P214" s="90"/>
    </row>
    <row r="215" spans="1:16" ht="12.75">
      <c r="A215" s="145"/>
      <c r="B215" s="33"/>
      <c r="C215" s="33"/>
      <c r="D215" s="8" t="s">
        <v>232</v>
      </c>
      <c r="E215" s="6" t="e">
        <f>#REF!+E220+E221+E222+E223+E224+E226+E227+E228+E229+E230+E231+E232+E233+E234+E237+E238+E239+E240</f>
        <v>#REF!</v>
      </c>
      <c r="F215" s="6" t="e">
        <f>#REF!+F220+F221+F222+F223+F224+F226+F227+F228+F229+F230+F231+F232+F233+F234+F237+F238+F239+F240</f>
        <v>#REF!</v>
      </c>
      <c r="G215" s="6" t="e">
        <f>#REF!+G220+G221+G222+G223+G224+G226+G227+G228+G229+G230+G231+G232+G233+G234+G237+G238+G239+G240</f>
        <v>#REF!</v>
      </c>
      <c r="H215" s="6" t="e">
        <f>#REF!+H220+H221+H222+H223+H224+H226+H227+H228+H229+H230+H231+H232+H233+H234+H237+H238+H239+H240</f>
        <v>#REF!</v>
      </c>
      <c r="I215" s="39" t="e">
        <f t="shared" si="39"/>
        <v>#REF!</v>
      </c>
      <c r="J215" s="6">
        <f>J220+J221+J222+J223+J224+J226+J227+J228+J229+J230+J231+J232+J233+J234+J237+J238+J239+J240</f>
        <v>230767</v>
      </c>
      <c r="K215" s="119">
        <f t="shared" si="35"/>
        <v>0.8664889129622017</v>
      </c>
      <c r="L215" s="6">
        <f>L220+L221+L222+L223+L224+L226+L227+L228+L229+L230+L231+L232+L233+L234+L237+L238+L239+L240</f>
        <v>242960</v>
      </c>
      <c r="M215" s="43" t="e">
        <f>#REF!+M220+M221+M222+M223+M224+M226+M227+M228+M229+M230+M231+M232+M233+M234+M237+M238+M239+M240</f>
        <v>#REF!</v>
      </c>
      <c r="N215" s="36">
        <f t="shared" si="40"/>
        <v>105.28368440894928</v>
      </c>
      <c r="O215" s="35">
        <f t="shared" si="36"/>
        <v>0.9795852083922122</v>
      </c>
      <c r="P215" s="90"/>
    </row>
    <row r="216" spans="1:16" ht="12.75">
      <c r="A216" s="145"/>
      <c r="B216" s="33"/>
      <c r="C216" s="33"/>
      <c r="D216" s="8" t="s">
        <v>231</v>
      </c>
      <c r="E216" s="6" t="e">
        <f>#REF!+E243+E235+E242</f>
        <v>#REF!</v>
      </c>
      <c r="F216" s="6" t="e">
        <f>#REF!+F243+F235+F242</f>
        <v>#REF!</v>
      </c>
      <c r="G216" s="6" t="e">
        <f>#REF!+G243+G235+G242</f>
        <v>#REF!</v>
      </c>
      <c r="H216" s="6" t="e">
        <f>#REF!+H243+H235+H242</f>
        <v>#REF!</v>
      </c>
      <c r="I216" s="39" t="e">
        <f t="shared" si="39"/>
        <v>#REF!</v>
      </c>
      <c r="J216" s="6">
        <f>J243+J235+J242</f>
        <v>231365</v>
      </c>
      <c r="K216" s="119">
        <f t="shared" si="35"/>
        <v>0.8687342962706963</v>
      </c>
      <c r="L216" s="6">
        <f>L243+L235+L242</f>
        <v>584927</v>
      </c>
      <c r="M216" s="43" t="e">
        <f>#REF!+M243+M235+M242</f>
        <v>#REF!</v>
      </c>
      <c r="N216" s="36">
        <f t="shared" si="40"/>
        <v>252.81568085060405</v>
      </c>
      <c r="O216" s="35">
        <f t="shared" si="36"/>
        <v>2.358354614707077</v>
      </c>
      <c r="P216" s="90"/>
    </row>
    <row r="217" spans="1:16" ht="12.75">
      <c r="A217" s="145"/>
      <c r="B217" s="33"/>
      <c r="C217" s="33"/>
      <c r="D217" s="8" t="s">
        <v>350</v>
      </c>
      <c r="E217" s="6">
        <f>E242+E243</f>
        <v>0</v>
      </c>
      <c r="F217" s="6">
        <f>F242+F243</f>
        <v>31365</v>
      </c>
      <c r="G217" s="6">
        <f>G242+G243</f>
        <v>493722</v>
      </c>
      <c r="H217" s="6">
        <f>H242+H243</f>
        <v>31365</v>
      </c>
      <c r="I217" s="39">
        <f t="shared" si="39"/>
        <v>6.352765321375187</v>
      </c>
      <c r="J217" s="6">
        <f>J242+J243</f>
        <v>231365</v>
      </c>
      <c r="K217" s="119">
        <f t="shared" si="35"/>
        <v>0.8687342962706963</v>
      </c>
      <c r="L217" s="6">
        <f>L242+L243</f>
        <v>580927</v>
      </c>
      <c r="M217" s="43"/>
      <c r="N217" s="36">
        <f t="shared" si="40"/>
        <v>251.08681088323644</v>
      </c>
      <c r="O217" s="35">
        <f t="shared" si="36"/>
        <v>2.342227100574838</v>
      </c>
      <c r="P217" s="90"/>
    </row>
    <row r="218" spans="1:16" ht="12.75">
      <c r="A218" s="145"/>
      <c r="B218" s="44"/>
      <c r="C218" s="33"/>
      <c r="D218" s="8" t="s">
        <v>351</v>
      </c>
      <c r="E218" s="6" t="e">
        <f>E215+E216</f>
        <v>#REF!</v>
      </c>
      <c r="F218" s="6" t="e">
        <f>F215+F216</f>
        <v>#REF!</v>
      </c>
      <c r="G218" s="6" t="e">
        <f>G215+G216</f>
        <v>#REF!</v>
      </c>
      <c r="H218" s="6" t="e">
        <f>H215+H216</f>
        <v>#REF!</v>
      </c>
      <c r="I218" s="39" t="e">
        <f t="shared" si="39"/>
        <v>#REF!</v>
      </c>
      <c r="J218" s="6">
        <f>J215+J216</f>
        <v>462132</v>
      </c>
      <c r="K218" s="119">
        <f t="shared" si="35"/>
        <v>1.735223209232898</v>
      </c>
      <c r="L218" s="6">
        <f>L215+L216</f>
        <v>827887</v>
      </c>
      <c r="M218" s="43" t="e">
        <f>SUM(M215:M217)</f>
        <v>#REF!</v>
      </c>
      <c r="N218" s="36">
        <f t="shared" si="40"/>
        <v>179.1451360217427</v>
      </c>
      <c r="O218" s="35">
        <f t="shared" si="36"/>
        <v>3.3379398230992896</v>
      </c>
      <c r="P218" s="90"/>
    </row>
    <row r="219" spans="1:16" ht="17.25" customHeight="1">
      <c r="A219" s="145"/>
      <c r="B219" s="147" t="s">
        <v>55</v>
      </c>
      <c r="C219" s="4"/>
      <c r="D219" s="3" t="s">
        <v>18</v>
      </c>
      <c r="E219" s="5" t="e">
        <f>E221+E222+E223+E224+E227+E230+E233+#REF!+E234+E231+E229+E228+E226+E220+E232+E235</f>
        <v>#REF!</v>
      </c>
      <c r="F219" s="5" t="e">
        <f>F221+F222+F223+F224+F227+F230+F233+#REF!+F234+F231+F229+F228+F226+F220+F232+F235</f>
        <v>#REF!</v>
      </c>
      <c r="G219" s="5" t="e">
        <f>G221+G222+G223+G224+G227+G230+G233+#REF!+G234+G231+G229+G228+G226+G220+G232+G235</f>
        <v>#REF!</v>
      </c>
      <c r="H219" s="5" t="e">
        <f>H221+H222+H223+H224+H227+H230+H233+#REF!+H234+H231+H229+H228+H226+H220+H232+H235</f>
        <v>#REF!</v>
      </c>
      <c r="I219" s="39" t="e">
        <f t="shared" si="39"/>
        <v>#REF!</v>
      </c>
      <c r="J219" s="5">
        <f>J221+J222+J223+J224+J227+J230+J233+J234+J231+J229+J228+J226+J220+J232+J235</f>
        <v>230767</v>
      </c>
      <c r="K219" s="120">
        <f t="shared" si="35"/>
        <v>0.8664889129622017</v>
      </c>
      <c r="L219" s="5">
        <f>L221+L222+L223+L224+L227+L230+L233+L234+L231+L229+L228+L226+L220+L232+L235</f>
        <v>246880</v>
      </c>
      <c r="M219" s="45" t="e">
        <f>M221+M222+M223+M224+M227+M230+M233+#REF!+M234+M231+M229+M228+M226+M220+M232+M235</f>
        <v>#REF!</v>
      </c>
      <c r="N219" s="38">
        <f t="shared" si="40"/>
        <v>106.98236749621913</v>
      </c>
      <c r="O219" s="67">
        <f t="shared" si="36"/>
        <v>0.9953901722418066</v>
      </c>
      <c r="P219" s="90"/>
    </row>
    <row r="220" spans="1:16" ht="15" customHeight="1">
      <c r="A220" s="145"/>
      <c r="B220" s="148"/>
      <c r="C220" s="4">
        <v>3030</v>
      </c>
      <c r="D220" s="4" t="s">
        <v>304</v>
      </c>
      <c r="E220" s="6">
        <v>33559.75</v>
      </c>
      <c r="F220" s="6">
        <v>48262</v>
      </c>
      <c r="G220" s="6">
        <v>48262</v>
      </c>
      <c r="H220" s="6">
        <v>30756.5</v>
      </c>
      <c r="I220" s="39">
        <f t="shared" si="39"/>
        <v>63.72819195226058</v>
      </c>
      <c r="J220" s="6">
        <v>40262</v>
      </c>
      <c r="K220" s="119">
        <f t="shared" si="35"/>
        <v>0.1511766267000228</v>
      </c>
      <c r="L220" s="29">
        <v>42538</v>
      </c>
      <c r="M220" s="80"/>
      <c r="N220" s="36"/>
      <c r="O220" s="35">
        <f t="shared" si="36"/>
        <v>0.17150804903929834</v>
      </c>
      <c r="P220" s="90"/>
    </row>
    <row r="221" spans="1:16" ht="12.75">
      <c r="A221" s="145"/>
      <c r="B221" s="148"/>
      <c r="C221" s="4" t="s">
        <v>98</v>
      </c>
      <c r="D221" s="4" t="s">
        <v>89</v>
      </c>
      <c r="E221" s="6">
        <v>122.3</v>
      </c>
      <c r="F221" s="6">
        <v>1300</v>
      </c>
      <c r="G221" s="6">
        <v>1300</v>
      </c>
      <c r="H221" s="6"/>
      <c r="I221" s="39">
        <f t="shared" si="39"/>
        <v>0</v>
      </c>
      <c r="J221" s="6"/>
      <c r="K221" s="119">
        <f t="shared" si="35"/>
        <v>0</v>
      </c>
      <c r="L221" s="29">
        <v>1300</v>
      </c>
      <c r="M221" s="80"/>
      <c r="N221" s="36"/>
      <c r="O221" s="35">
        <f t="shared" si="36"/>
        <v>0.005241442092977757</v>
      </c>
      <c r="P221" s="90"/>
    </row>
    <row r="222" spans="1:16" ht="12.75">
      <c r="A222" s="145"/>
      <c r="B222" s="148"/>
      <c r="C222" s="4" t="s">
        <v>99</v>
      </c>
      <c r="D222" s="4" t="s">
        <v>106</v>
      </c>
      <c r="E222" s="6"/>
      <c r="F222" s="6">
        <v>110</v>
      </c>
      <c r="G222" s="6">
        <v>110</v>
      </c>
      <c r="H222" s="6"/>
      <c r="I222" s="39">
        <f t="shared" si="39"/>
        <v>0</v>
      </c>
      <c r="J222" s="6"/>
      <c r="K222" s="119">
        <f t="shared" si="35"/>
        <v>0</v>
      </c>
      <c r="L222" s="29">
        <v>110</v>
      </c>
      <c r="M222" s="80"/>
      <c r="N222" s="36"/>
      <c r="O222" s="35">
        <f t="shared" si="36"/>
        <v>0.00044350663863657947</v>
      </c>
      <c r="P222" s="90"/>
    </row>
    <row r="223" spans="1:16" ht="12.75">
      <c r="A223" s="145"/>
      <c r="B223" s="148"/>
      <c r="C223" s="4" t="s">
        <v>100</v>
      </c>
      <c r="D223" s="4" t="s">
        <v>86</v>
      </c>
      <c r="E223" s="6">
        <v>26625.74</v>
      </c>
      <c r="F223" s="6">
        <v>29440</v>
      </c>
      <c r="G223" s="6">
        <v>29440</v>
      </c>
      <c r="H223" s="6">
        <v>20888.25</v>
      </c>
      <c r="I223" s="39">
        <f t="shared" si="39"/>
        <v>70.95193614130434</v>
      </c>
      <c r="J223" s="6">
        <v>27500</v>
      </c>
      <c r="K223" s="119">
        <f t="shared" si="35"/>
        <v>0.10325759361806733</v>
      </c>
      <c r="L223" s="29">
        <v>31440</v>
      </c>
      <c r="M223" s="80"/>
      <c r="N223" s="36">
        <f>(L223/J223)*100</f>
        <v>114.32727272727273</v>
      </c>
      <c r="O223" s="35">
        <f t="shared" si="36"/>
        <v>0.12676226107940053</v>
      </c>
      <c r="P223" s="90"/>
    </row>
    <row r="224" spans="1:16" ht="17.25" customHeight="1">
      <c r="A224" s="145"/>
      <c r="B224" s="148"/>
      <c r="C224" s="4" t="s">
        <v>101</v>
      </c>
      <c r="D224" s="4" t="s">
        <v>74</v>
      </c>
      <c r="E224" s="6">
        <v>83704.53</v>
      </c>
      <c r="F224" s="6">
        <v>83065</v>
      </c>
      <c r="G224" s="6">
        <v>80265</v>
      </c>
      <c r="H224" s="6">
        <v>62687.68</v>
      </c>
      <c r="I224" s="39">
        <f t="shared" si="39"/>
        <v>78.10089079922756</v>
      </c>
      <c r="J224" s="6">
        <v>98807</v>
      </c>
      <c r="K224" s="119">
        <f t="shared" si="35"/>
        <v>0.3710026564589229</v>
      </c>
      <c r="L224" s="29">
        <v>90152</v>
      </c>
      <c r="M224" s="80"/>
      <c r="N224" s="36">
        <f>(L224/J224)*100</f>
        <v>91.24049915491817</v>
      </c>
      <c r="O224" s="35">
        <f t="shared" si="36"/>
        <v>0.3634819135124083</v>
      </c>
      <c r="P224" s="90"/>
    </row>
    <row r="225" spans="1:16" ht="21">
      <c r="A225" s="145"/>
      <c r="B225" s="148"/>
      <c r="C225" s="4"/>
      <c r="D225" s="3" t="s">
        <v>319</v>
      </c>
      <c r="E225" s="5"/>
      <c r="F225" s="5">
        <v>2000</v>
      </c>
      <c r="G225" s="5">
        <v>2000</v>
      </c>
      <c r="H225" s="5"/>
      <c r="I225" s="39"/>
      <c r="J225" s="5">
        <v>1000</v>
      </c>
      <c r="K225" s="119">
        <f t="shared" si="35"/>
        <v>0.0037548215861115393</v>
      </c>
      <c r="L225" s="41"/>
      <c r="M225" s="88"/>
      <c r="N225" s="38"/>
      <c r="O225" s="35">
        <f t="shared" si="36"/>
        <v>0</v>
      </c>
      <c r="P225" s="90">
        <v>2000</v>
      </c>
    </row>
    <row r="226" spans="1:16" ht="22.5">
      <c r="A226" s="145"/>
      <c r="B226" s="148"/>
      <c r="C226" s="4">
        <v>4230</v>
      </c>
      <c r="D226" s="4" t="s">
        <v>300</v>
      </c>
      <c r="E226" s="6">
        <v>164.81</v>
      </c>
      <c r="F226" s="6">
        <v>500</v>
      </c>
      <c r="G226" s="6">
        <v>500</v>
      </c>
      <c r="H226" s="6"/>
      <c r="I226" s="39">
        <f aca="true" t="shared" si="41" ref="I226:I234">(H226/G226)*100</f>
        <v>0</v>
      </c>
      <c r="J226" s="6"/>
      <c r="K226" s="119">
        <f t="shared" si="35"/>
        <v>0</v>
      </c>
      <c r="L226" s="29">
        <v>500</v>
      </c>
      <c r="M226" s="80"/>
      <c r="N226" s="36"/>
      <c r="O226" s="35">
        <f t="shared" si="36"/>
        <v>0.0020159392665299062</v>
      </c>
      <c r="P226" s="90"/>
    </row>
    <row r="227" spans="1:16" ht="12.75">
      <c r="A227" s="145"/>
      <c r="B227" s="148"/>
      <c r="C227" s="4" t="s">
        <v>109</v>
      </c>
      <c r="D227" s="4" t="s">
        <v>75</v>
      </c>
      <c r="E227" s="6">
        <v>13622.68</v>
      </c>
      <c r="F227" s="6">
        <v>16000</v>
      </c>
      <c r="G227" s="6">
        <v>16000</v>
      </c>
      <c r="H227" s="6">
        <v>9300.22</v>
      </c>
      <c r="I227" s="39">
        <f t="shared" si="41"/>
        <v>58.126374999999996</v>
      </c>
      <c r="J227" s="6">
        <v>16000</v>
      </c>
      <c r="K227" s="119">
        <f t="shared" si="35"/>
        <v>0.06007714537778463</v>
      </c>
      <c r="L227" s="29">
        <v>20100</v>
      </c>
      <c r="M227" s="80"/>
      <c r="N227" s="36">
        <f aca="true" t="shared" si="42" ref="N227:N233">(L227/J227)*100</f>
        <v>125.62500000000001</v>
      </c>
      <c r="O227" s="35">
        <f t="shared" si="36"/>
        <v>0.08104075851450225</v>
      </c>
      <c r="P227" s="90"/>
    </row>
    <row r="228" spans="1:16" ht="12.75">
      <c r="A228" s="145"/>
      <c r="B228" s="148"/>
      <c r="C228" s="4">
        <v>4270</v>
      </c>
      <c r="D228" s="4" t="s">
        <v>77</v>
      </c>
      <c r="E228" s="6">
        <v>5868</v>
      </c>
      <c r="F228" s="6">
        <v>9000</v>
      </c>
      <c r="G228" s="6">
        <v>6000</v>
      </c>
      <c r="H228" s="6"/>
      <c r="I228" s="39">
        <f t="shared" si="41"/>
        <v>0</v>
      </c>
      <c r="J228" s="6">
        <v>7683</v>
      </c>
      <c r="K228" s="119">
        <f t="shared" si="35"/>
        <v>0.028848294246094957</v>
      </c>
      <c r="L228" s="29">
        <v>10400</v>
      </c>
      <c r="M228" s="80"/>
      <c r="N228" s="36">
        <f t="shared" si="42"/>
        <v>135.36379018612521</v>
      </c>
      <c r="O228" s="35">
        <f t="shared" si="36"/>
        <v>0.04193153674382206</v>
      </c>
      <c r="P228" s="90"/>
    </row>
    <row r="229" spans="1:16" ht="12.75">
      <c r="A229" s="145"/>
      <c r="B229" s="148"/>
      <c r="C229" s="4">
        <v>4280</v>
      </c>
      <c r="D229" s="4" t="s">
        <v>91</v>
      </c>
      <c r="E229" s="6">
        <v>5320</v>
      </c>
      <c r="F229" s="6">
        <v>7600</v>
      </c>
      <c r="G229" s="6">
        <v>7600</v>
      </c>
      <c r="H229" s="6">
        <v>4480</v>
      </c>
      <c r="I229" s="39">
        <f t="shared" si="41"/>
        <v>58.94736842105262</v>
      </c>
      <c r="J229" s="6">
        <v>4480</v>
      </c>
      <c r="K229" s="119">
        <f t="shared" si="35"/>
        <v>0.016821600705779694</v>
      </c>
      <c r="L229" s="29">
        <v>6840</v>
      </c>
      <c r="M229" s="80"/>
      <c r="N229" s="36">
        <f t="shared" si="42"/>
        <v>152.67857142857142</v>
      </c>
      <c r="O229" s="35">
        <f t="shared" si="36"/>
        <v>0.02757804916612912</v>
      </c>
      <c r="P229" s="90"/>
    </row>
    <row r="230" spans="1:16" ht="12.75">
      <c r="A230" s="145"/>
      <c r="B230" s="148"/>
      <c r="C230" s="4" t="s">
        <v>78</v>
      </c>
      <c r="D230" s="4" t="s">
        <v>87</v>
      </c>
      <c r="E230" s="6">
        <v>11975.74</v>
      </c>
      <c r="F230" s="6">
        <v>15550</v>
      </c>
      <c r="G230" s="6">
        <v>22550</v>
      </c>
      <c r="H230" s="6">
        <v>20424.48</v>
      </c>
      <c r="I230" s="39">
        <f t="shared" si="41"/>
        <v>90.57419068736142</v>
      </c>
      <c r="J230" s="6">
        <v>25467</v>
      </c>
      <c r="K230" s="119">
        <f t="shared" si="35"/>
        <v>0.09562404133350258</v>
      </c>
      <c r="L230" s="29">
        <v>27000</v>
      </c>
      <c r="M230" s="80"/>
      <c r="N230" s="36">
        <f t="shared" si="42"/>
        <v>106.0195547178702</v>
      </c>
      <c r="O230" s="35">
        <f t="shared" si="36"/>
        <v>0.10886072039261495</v>
      </c>
      <c r="P230" s="90"/>
    </row>
    <row r="231" spans="1:16" ht="25.5" customHeight="1">
      <c r="A231" s="145"/>
      <c r="B231" s="148"/>
      <c r="C231" s="4">
        <v>4370</v>
      </c>
      <c r="D231" s="4" t="s">
        <v>150</v>
      </c>
      <c r="E231" s="6"/>
      <c r="F231" s="6">
        <v>100</v>
      </c>
      <c r="G231" s="6">
        <v>100</v>
      </c>
      <c r="H231" s="6"/>
      <c r="I231" s="39">
        <f t="shared" si="41"/>
        <v>0</v>
      </c>
      <c r="J231" s="6"/>
      <c r="K231" s="119">
        <f t="shared" si="35"/>
        <v>0</v>
      </c>
      <c r="L231" s="29">
        <v>100</v>
      </c>
      <c r="M231" s="80"/>
      <c r="N231" s="36"/>
      <c r="O231" s="35">
        <f t="shared" si="36"/>
        <v>0.00040318785330598127</v>
      </c>
      <c r="P231" s="90"/>
    </row>
    <row r="232" spans="1:16" ht="12.75">
      <c r="A232" s="145"/>
      <c r="B232" s="148"/>
      <c r="C232" s="4">
        <v>4380</v>
      </c>
      <c r="D232" s="4" t="s">
        <v>136</v>
      </c>
      <c r="E232" s="6">
        <v>92</v>
      </c>
      <c r="F232" s="6">
        <v>100</v>
      </c>
      <c r="G232" s="6">
        <v>100</v>
      </c>
      <c r="H232" s="6"/>
      <c r="I232" s="39">
        <f t="shared" si="41"/>
        <v>0</v>
      </c>
      <c r="J232" s="6"/>
      <c r="K232" s="119">
        <f t="shared" si="35"/>
        <v>0</v>
      </c>
      <c r="L232" s="29">
        <v>100</v>
      </c>
      <c r="M232" s="80"/>
      <c r="N232" s="36"/>
      <c r="O232" s="35">
        <f t="shared" si="36"/>
        <v>0.00040318785330598127</v>
      </c>
      <c r="P232" s="90"/>
    </row>
    <row r="233" spans="1:16" ht="12.75">
      <c r="A233" s="145"/>
      <c r="B233" s="148"/>
      <c r="C233" s="4" t="s">
        <v>110</v>
      </c>
      <c r="D233" s="4" t="s">
        <v>88</v>
      </c>
      <c r="E233" s="6">
        <v>12242.5</v>
      </c>
      <c r="F233" s="6">
        <v>12500</v>
      </c>
      <c r="G233" s="6">
        <v>12500</v>
      </c>
      <c r="H233" s="6">
        <v>8264</v>
      </c>
      <c r="I233" s="39">
        <f t="shared" si="41"/>
        <v>66.11200000000001</v>
      </c>
      <c r="J233" s="6">
        <v>10568</v>
      </c>
      <c r="K233" s="119">
        <f t="shared" si="35"/>
        <v>0.039680954522026746</v>
      </c>
      <c r="L233" s="29">
        <v>12000</v>
      </c>
      <c r="M233" s="80"/>
      <c r="N233" s="36">
        <f t="shared" si="42"/>
        <v>113.55034065102197</v>
      </c>
      <c r="O233" s="35">
        <f t="shared" si="36"/>
        <v>0.048382542396717756</v>
      </c>
      <c r="P233" s="90"/>
    </row>
    <row r="234" spans="1:16" ht="22.5">
      <c r="A234" s="145"/>
      <c r="B234" s="148"/>
      <c r="C234" s="4">
        <v>4520</v>
      </c>
      <c r="D234" s="4" t="s">
        <v>103</v>
      </c>
      <c r="E234" s="6"/>
      <c r="F234" s="6">
        <v>300</v>
      </c>
      <c r="G234" s="6">
        <v>300</v>
      </c>
      <c r="H234" s="6"/>
      <c r="I234" s="39">
        <f t="shared" si="41"/>
        <v>0</v>
      </c>
      <c r="J234" s="6"/>
      <c r="K234" s="119">
        <f t="shared" si="35"/>
        <v>0</v>
      </c>
      <c r="L234" s="29">
        <v>300</v>
      </c>
      <c r="M234" s="80"/>
      <c r="N234" s="36"/>
      <c r="O234" s="35">
        <f t="shared" si="36"/>
        <v>0.001209563559917944</v>
      </c>
      <c r="P234" s="90"/>
    </row>
    <row r="235" spans="1:16" ht="12.75">
      <c r="A235" s="145"/>
      <c r="B235" s="148"/>
      <c r="C235" s="4">
        <v>6050</v>
      </c>
      <c r="D235" s="4" t="s">
        <v>56</v>
      </c>
      <c r="E235" s="6"/>
      <c r="F235" s="6"/>
      <c r="G235" s="6"/>
      <c r="H235" s="6"/>
      <c r="I235" s="6" t="e">
        <f>#REF!</f>
        <v>#REF!</v>
      </c>
      <c r="J235" s="6"/>
      <c r="K235" s="119">
        <f t="shared" si="35"/>
        <v>0</v>
      </c>
      <c r="L235" s="6">
        <v>4000</v>
      </c>
      <c r="M235" s="60"/>
      <c r="N235" s="36"/>
      <c r="O235" s="35">
        <f t="shared" si="36"/>
        <v>0.01612751413223925</v>
      </c>
      <c r="P235" s="90"/>
    </row>
    <row r="236" spans="1:16" ht="12.75">
      <c r="A236" s="145"/>
      <c r="B236" s="147">
        <v>75421</v>
      </c>
      <c r="C236" s="51"/>
      <c r="D236" s="24" t="s">
        <v>247</v>
      </c>
      <c r="E236" s="25">
        <f aca="true" t="shared" si="43" ref="E236:M236">E238+E240+E237+E239</f>
        <v>9514.36</v>
      </c>
      <c r="F236" s="25">
        <f t="shared" si="43"/>
        <v>3200</v>
      </c>
      <c r="G236" s="25">
        <f t="shared" si="43"/>
        <v>3200</v>
      </c>
      <c r="H236" s="25">
        <f t="shared" si="43"/>
        <v>0</v>
      </c>
      <c r="I236" s="25">
        <f t="shared" si="43"/>
        <v>0</v>
      </c>
      <c r="J236" s="25">
        <f t="shared" si="43"/>
        <v>0</v>
      </c>
      <c r="K236" s="120">
        <f t="shared" si="35"/>
        <v>0</v>
      </c>
      <c r="L236" s="25">
        <f t="shared" si="43"/>
        <v>80</v>
      </c>
      <c r="M236" s="78">
        <f t="shared" si="43"/>
        <v>0</v>
      </c>
      <c r="N236" s="38"/>
      <c r="O236" s="67">
        <f t="shared" si="36"/>
        <v>0.0003225502826447851</v>
      </c>
      <c r="P236" s="90"/>
    </row>
    <row r="237" spans="1:16" s="108" customFormat="1" ht="12.75">
      <c r="A237" s="145"/>
      <c r="B237" s="150"/>
      <c r="C237" s="47">
        <v>4170</v>
      </c>
      <c r="D237" s="4" t="s">
        <v>86</v>
      </c>
      <c r="E237" s="48">
        <v>163</v>
      </c>
      <c r="F237" s="48">
        <v>200</v>
      </c>
      <c r="G237" s="48">
        <v>200</v>
      </c>
      <c r="H237" s="48"/>
      <c r="I237" s="39">
        <f aca="true" t="shared" si="44" ref="I237:I247">(H237/G237)*100</f>
        <v>0</v>
      </c>
      <c r="J237" s="48"/>
      <c r="K237" s="119">
        <f t="shared" si="35"/>
        <v>0</v>
      </c>
      <c r="L237" s="48">
        <v>20</v>
      </c>
      <c r="M237" s="83"/>
      <c r="N237" s="36"/>
      <c r="O237" s="35">
        <f t="shared" si="36"/>
        <v>8.063757066119627E-05</v>
      </c>
      <c r="P237" s="90"/>
    </row>
    <row r="238" spans="1:16" s="13" customFormat="1" ht="12.75">
      <c r="A238" s="145"/>
      <c r="B238" s="157"/>
      <c r="C238" s="4">
        <v>4210</v>
      </c>
      <c r="D238" s="4" t="s">
        <v>74</v>
      </c>
      <c r="E238" s="6">
        <v>1881.02</v>
      </c>
      <c r="F238" s="48">
        <v>1000</v>
      </c>
      <c r="G238" s="48">
        <v>1000</v>
      </c>
      <c r="H238" s="48"/>
      <c r="I238" s="39">
        <f t="shared" si="44"/>
        <v>0</v>
      </c>
      <c r="J238" s="48"/>
      <c r="K238" s="119">
        <f t="shared" si="35"/>
        <v>0</v>
      </c>
      <c r="L238" s="48">
        <v>20</v>
      </c>
      <c r="M238" s="83"/>
      <c r="N238" s="38"/>
      <c r="O238" s="35">
        <f t="shared" si="36"/>
        <v>8.063757066119627E-05</v>
      </c>
      <c r="P238" s="90"/>
    </row>
    <row r="239" spans="1:16" s="13" customFormat="1" ht="12.75">
      <c r="A239" s="145"/>
      <c r="B239" s="157"/>
      <c r="C239" s="4">
        <v>4270</v>
      </c>
      <c r="D239" s="4" t="s">
        <v>77</v>
      </c>
      <c r="E239" s="6">
        <v>3690</v>
      </c>
      <c r="F239" s="48">
        <v>1000</v>
      </c>
      <c r="G239" s="48">
        <v>1000</v>
      </c>
      <c r="H239" s="48"/>
      <c r="I239" s="39">
        <f t="shared" si="44"/>
        <v>0</v>
      </c>
      <c r="J239" s="48"/>
      <c r="K239" s="119">
        <f t="shared" si="35"/>
        <v>0</v>
      </c>
      <c r="L239" s="48">
        <v>20</v>
      </c>
      <c r="M239" s="83"/>
      <c r="N239" s="38"/>
      <c r="O239" s="35">
        <f t="shared" si="36"/>
        <v>8.063757066119627E-05</v>
      </c>
      <c r="P239" s="90"/>
    </row>
    <row r="240" spans="1:16" ht="12.75">
      <c r="A240" s="145"/>
      <c r="B240" s="163"/>
      <c r="C240" s="4">
        <v>4300</v>
      </c>
      <c r="D240" s="4" t="s">
        <v>79</v>
      </c>
      <c r="E240" s="6">
        <v>3780.34</v>
      </c>
      <c r="F240" s="6">
        <v>1000</v>
      </c>
      <c r="G240" s="6">
        <v>1000</v>
      </c>
      <c r="H240" s="6"/>
      <c r="I240" s="39">
        <f t="shared" si="44"/>
        <v>0</v>
      </c>
      <c r="J240" s="6"/>
      <c r="K240" s="119">
        <f t="shared" si="35"/>
        <v>0</v>
      </c>
      <c r="L240" s="29">
        <v>20</v>
      </c>
      <c r="M240" s="80"/>
      <c r="N240" s="36"/>
      <c r="O240" s="35">
        <f t="shared" si="36"/>
        <v>8.063757066119627E-05</v>
      </c>
      <c r="P240" s="90"/>
    </row>
    <row r="241" spans="1:16" ht="12.75">
      <c r="A241" s="145"/>
      <c r="B241" s="155">
        <v>75495</v>
      </c>
      <c r="C241" s="3"/>
      <c r="D241" s="3" t="s">
        <v>10</v>
      </c>
      <c r="E241" s="5">
        <f>E243+E242</f>
        <v>0</v>
      </c>
      <c r="F241" s="5">
        <f>F243+F242</f>
        <v>31365</v>
      </c>
      <c r="G241" s="5">
        <f>G243+G242</f>
        <v>493722</v>
      </c>
      <c r="H241" s="5">
        <f>H243+H242</f>
        <v>31365</v>
      </c>
      <c r="I241" s="39">
        <f t="shared" si="44"/>
        <v>6.352765321375187</v>
      </c>
      <c r="J241" s="5">
        <f>J243+J242</f>
        <v>231365</v>
      </c>
      <c r="K241" s="120">
        <f t="shared" si="35"/>
        <v>0.8687342962706963</v>
      </c>
      <c r="L241" s="5">
        <f>L243+L242</f>
        <v>580927</v>
      </c>
      <c r="M241" s="45">
        <f>M243+M242</f>
        <v>0</v>
      </c>
      <c r="N241" s="38">
        <f>(L241/J241)*100</f>
        <v>251.08681088323644</v>
      </c>
      <c r="O241" s="67">
        <f t="shared" si="36"/>
        <v>2.342227100574838</v>
      </c>
      <c r="P241" s="90"/>
    </row>
    <row r="242" spans="1:16" s="108" customFormat="1" ht="12.75">
      <c r="A242" s="145"/>
      <c r="B242" s="155"/>
      <c r="C242" s="4">
        <v>6057</v>
      </c>
      <c r="D242" s="4" t="s">
        <v>38</v>
      </c>
      <c r="E242" s="6"/>
      <c r="F242" s="6">
        <v>26660.25</v>
      </c>
      <c r="G242" s="6">
        <v>398753.7</v>
      </c>
      <c r="H242" s="6">
        <v>26660.25</v>
      </c>
      <c r="I242" s="39">
        <f t="shared" si="44"/>
        <v>6.685894074462507</v>
      </c>
      <c r="J242" s="6">
        <v>196660.25</v>
      </c>
      <c r="K242" s="119">
        <f t="shared" si="35"/>
        <v>0.7384241518300918</v>
      </c>
      <c r="L242" s="6">
        <v>485423.95</v>
      </c>
      <c r="M242" s="60"/>
      <c r="N242" s="36"/>
      <c r="O242" s="35">
        <f t="shared" si="36"/>
        <v>1.9571704034381001</v>
      </c>
      <c r="P242" s="90"/>
    </row>
    <row r="243" spans="1:16" ht="12.75">
      <c r="A243" s="145"/>
      <c r="B243" s="156"/>
      <c r="C243" s="4">
        <v>6059</v>
      </c>
      <c r="D243" s="4" t="s">
        <v>38</v>
      </c>
      <c r="E243" s="6"/>
      <c r="F243" s="6">
        <v>4704.75</v>
      </c>
      <c r="G243" s="6">
        <v>94968.3</v>
      </c>
      <c r="H243" s="6">
        <v>4704.75</v>
      </c>
      <c r="I243" s="39">
        <f t="shared" si="44"/>
        <v>4.954021499805725</v>
      </c>
      <c r="J243" s="6">
        <v>34704.75</v>
      </c>
      <c r="K243" s="119">
        <f t="shared" si="35"/>
        <v>0.13031014444060443</v>
      </c>
      <c r="L243" s="29">
        <v>95503.05</v>
      </c>
      <c r="M243" s="80"/>
      <c r="N243" s="36">
        <f>(L243/J243)*100</f>
        <v>275.1872582283405</v>
      </c>
      <c r="O243" s="35">
        <f t="shared" si="36"/>
        <v>0.385056697136738</v>
      </c>
      <c r="P243" s="90"/>
    </row>
    <row r="244" spans="1:16" s="13" customFormat="1" ht="15" customHeight="1">
      <c r="A244" s="134" t="s">
        <v>154</v>
      </c>
      <c r="B244" s="3"/>
      <c r="C244" s="3"/>
      <c r="D244" s="3" t="s">
        <v>218</v>
      </c>
      <c r="E244" s="5" t="e">
        <f aca="true" t="shared" si="45" ref="E244:H245">E246</f>
        <v>#REF!</v>
      </c>
      <c r="F244" s="5" t="e">
        <f t="shared" si="45"/>
        <v>#REF!</v>
      </c>
      <c r="G244" s="5" t="e">
        <f t="shared" si="45"/>
        <v>#REF!</v>
      </c>
      <c r="H244" s="5" t="e">
        <f t="shared" si="45"/>
        <v>#REF!</v>
      </c>
      <c r="I244" s="39" t="e">
        <f t="shared" si="44"/>
        <v>#REF!</v>
      </c>
      <c r="J244" s="5">
        <f>J246+J248</f>
        <v>900000</v>
      </c>
      <c r="K244" s="120">
        <f t="shared" si="35"/>
        <v>3.379339427500385</v>
      </c>
      <c r="L244" s="5">
        <f>L246+L248</f>
        <v>915000</v>
      </c>
      <c r="M244" s="45" t="e">
        <f>M246</f>
        <v>#REF!</v>
      </c>
      <c r="N244" s="38">
        <f>(L244/J244)*100</f>
        <v>101.66666666666666</v>
      </c>
      <c r="O244" s="67">
        <f t="shared" si="36"/>
        <v>3.689168857749729</v>
      </c>
      <c r="P244" s="90"/>
    </row>
    <row r="245" spans="1:16" s="13" customFormat="1" ht="12.75">
      <c r="A245" s="134"/>
      <c r="B245" s="3"/>
      <c r="C245" s="3"/>
      <c r="D245" s="8" t="s">
        <v>230</v>
      </c>
      <c r="E245" s="6">
        <f t="shared" si="45"/>
        <v>611706.84</v>
      </c>
      <c r="F245" s="6">
        <f t="shared" si="45"/>
        <v>600000</v>
      </c>
      <c r="G245" s="6">
        <f t="shared" si="45"/>
        <v>850000</v>
      </c>
      <c r="H245" s="6">
        <f t="shared" si="45"/>
        <v>654141.03</v>
      </c>
      <c r="I245" s="39">
        <f t="shared" si="44"/>
        <v>76.95776823529413</v>
      </c>
      <c r="J245" s="6">
        <f>J247+J249</f>
        <v>900000</v>
      </c>
      <c r="K245" s="119">
        <f t="shared" si="35"/>
        <v>3.379339427500385</v>
      </c>
      <c r="L245" s="6">
        <f>L247+L249</f>
        <v>915000</v>
      </c>
      <c r="M245" s="43">
        <f>M247</f>
        <v>0</v>
      </c>
      <c r="N245" s="36">
        <f>(L245/J245)*100</f>
        <v>101.66666666666666</v>
      </c>
      <c r="O245" s="35">
        <f t="shared" si="36"/>
        <v>3.689168857749729</v>
      </c>
      <c r="P245" s="90"/>
    </row>
    <row r="246" spans="1:16" ht="12.75">
      <c r="A246" s="153"/>
      <c r="B246" s="155" t="s">
        <v>151</v>
      </c>
      <c r="C246" s="4"/>
      <c r="D246" s="3" t="s">
        <v>297</v>
      </c>
      <c r="E246" s="5" t="e">
        <f>E247+#REF!</f>
        <v>#REF!</v>
      </c>
      <c r="F246" s="5" t="e">
        <f>F247+#REF!</f>
        <v>#REF!</v>
      </c>
      <c r="G246" s="5" t="e">
        <f>G247+#REF!</f>
        <v>#REF!</v>
      </c>
      <c r="H246" s="5" t="e">
        <f>H247+#REF!</f>
        <v>#REF!</v>
      </c>
      <c r="I246" s="39" t="e">
        <f t="shared" si="44"/>
        <v>#REF!</v>
      </c>
      <c r="J246" s="5">
        <f>J247</f>
        <v>900000</v>
      </c>
      <c r="K246" s="120">
        <f t="shared" si="35"/>
        <v>3.379339427500385</v>
      </c>
      <c r="L246" s="5">
        <f>L247</f>
        <v>880000</v>
      </c>
      <c r="M246" s="45" t="e">
        <f>M247+#REF!</f>
        <v>#REF!</v>
      </c>
      <c r="N246" s="38">
        <f>(L246/J246)*100</f>
        <v>97.77777777777777</v>
      </c>
      <c r="O246" s="67">
        <f t="shared" si="36"/>
        <v>3.5480531090926353</v>
      </c>
      <c r="P246" s="90"/>
    </row>
    <row r="247" spans="1:16" ht="12.75">
      <c r="A247" s="153"/>
      <c r="B247" s="156"/>
      <c r="C247" s="4" t="s">
        <v>152</v>
      </c>
      <c r="D247" s="4" t="s">
        <v>153</v>
      </c>
      <c r="E247" s="6">
        <v>611706.84</v>
      </c>
      <c r="F247" s="6">
        <v>600000</v>
      </c>
      <c r="G247" s="6">
        <v>850000</v>
      </c>
      <c r="H247" s="6">
        <v>654141.03</v>
      </c>
      <c r="I247" s="39">
        <f t="shared" si="44"/>
        <v>76.95776823529413</v>
      </c>
      <c r="J247" s="6">
        <v>900000</v>
      </c>
      <c r="K247" s="119">
        <f t="shared" si="35"/>
        <v>3.379339427500385</v>
      </c>
      <c r="L247" s="29">
        <v>880000</v>
      </c>
      <c r="M247" s="80"/>
      <c r="N247" s="36">
        <f>(L247/J247)*100</f>
        <v>97.77777777777777</v>
      </c>
      <c r="O247" s="35">
        <f t="shared" si="36"/>
        <v>3.5480531090926353</v>
      </c>
      <c r="P247" s="90"/>
    </row>
    <row r="248" spans="1:16" ht="21">
      <c r="A248" s="50"/>
      <c r="B248" s="24">
        <v>75704</v>
      </c>
      <c r="C248" s="24"/>
      <c r="D248" s="24" t="s">
        <v>356</v>
      </c>
      <c r="E248" s="25"/>
      <c r="F248" s="25"/>
      <c r="G248" s="25"/>
      <c r="H248" s="25"/>
      <c r="I248" s="39"/>
      <c r="J248" s="25">
        <f>J249</f>
        <v>0</v>
      </c>
      <c r="K248" s="120">
        <f t="shared" si="35"/>
        <v>0</v>
      </c>
      <c r="L248" s="25">
        <f>L249</f>
        <v>35000</v>
      </c>
      <c r="M248" s="78">
        <f>M249</f>
        <v>0</v>
      </c>
      <c r="N248" s="36"/>
      <c r="O248" s="35">
        <f t="shared" si="36"/>
        <v>0.14111574865709345</v>
      </c>
      <c r="P248" s="90"/>
    </row>
    <row r="249" spans="1:16" ht="12.75">
      <c r="A249" s="50"/>
      <c r="B249" s="4"/>
      <c r="C249" s="4">
        <v>8020</v>
      </c>
      <c r="D249" s="4" t="s">
        <v>357</v>
      </c>
      <c r="E249" s="6"/>
      <c r="F249" s="6"/>
      <c r="G249" s="6"/>
      <c r="H249" s="6"/>
      <c r="I249" s="39"/>
      <c r="J249" s="6"/>
      <c r="K249" s="119">
        <f t="shared" si="35"/>
        <v>0</v>
      </c>
      <c r="L249" s="29">
        <v>35000</v>
      </c>
      <c r="M249" s="80"/>
      <c r="N249" s="36"/>
      <c r="O249" s="35">
        <f t="shared" si="36"/>
        <v>0.14111574865709345</v>
      </c>
      <c r="P249" s="90"/>
    </row>
    <row r="250" spans="1:16" s="13" customFormat="1" ht="12.75">
      <c r="A250" s="134" t="s">
        <v>156</v>
      </c>
      <c r="B250" s="50"/>
      <c r="C250" s="50"/>
      <c r="D250" s="3" t="s">
        <v>19</v>
      </c>
      <c r="E250" s="5">
        <f aca="true" t="shared" si="46" ref="E250:H251">E252</f>
        <v>0</v>
      </c>
      <c r="F250" s="5">
        <f t="shared" si="46"/>
        <v>103200</v>
      </c>
      <c r="G250" s="5">
        <f t="shared" si="46"/>
        <v>101348</v>
      </c>
      <c r="H250" s="5">
        <f t="shared" si="46"/>
        <v>0</v>
      </c>
      <c r="I250" s="39">
        <f aca="true" t="shared" si="47" ref="I250:I269">(H250/G250)*100</f>
        <v>0</v>
      </c>
      <c r="J250" s="5">
        <f>J252</f>
        <v>0</v>
      </c>
      <c r="K250" s="120">
        <f t="shared" si="35"/>
        <v>0</v>
      </c>
      <c r="L250" s="5">
        <f>L252</f>
        <v>150000</v>
      </c>
      <c r="M250" s="45">
        <f>M252</f>
        <v>0</v>
      </c>
      <c r="N250" s="38"/>
      <c r="O250" s="67">
        <f t="shared" si="36"/>
        <v>0.604781779958972</v>
      </c>
      <c r="P250" s="90"/>
    </row>
    <row r="251" spans="1:16" s="13" customFormat="1" ht="12.75">
      <c r="A251" s="134"/>
      <c r="B251" s="50"/>
      <c r="C251" s="50"/>
      <c r="D251" s="8" t="s">
        <v>230</v>
      </c>
      <c r="E251" s="6">
        <f t="shared" si="46"/>
        <v>0</v>
      </c>
      <c r="F251" s="6">
        <f t="shared" si="46"/>
        <v>103200</v>
      </c>
      <c r="G251" s="6">
        <f t="shared" si="46"/>
        <v>101348</v>
      </c>
      <c r="H251" s="6">
        <f t="shared" si="46"/>
        <v>0</v>
      </c>
      <c r="I251" s="39">
        <f t="shared" si="47"/>
        <v>0</v>
      </c>
      <c r="J251" s="6">
        <f>J253</f>
        <v>0</v>
      </c>
      <c r="K251" s="119">
        <f t="shared" si="35"/>
        <v>0</v>
      </c>
      <c r="L251" s="6">
        <f>L253</f>
        <v>150000</v>
      </c>
      <c r="M251" s="43">
        <f>M252</f>
        <v>0</v>
      </c>
      <c r="N251" s="36"/>
      <c r="O251" s="35">
        <f t="shared" si="36"/>
        <v>0.604781779958972</v>
      </c>
      <c r="P251" s="90"/>
    </row>
    <row r="252" spans="1:16" ht="12.75">
      <c r="A252" s="153"/>
      <c r="B252" s="153">
        <v>75818</v>
      </c>
      <c r="C252" s="50"/>
      <c r="D252" s="50" t="s">
        <v>155</v>
      </c>
      <c r="E252" s="41">
        <f>E253</f>
        <v>0</v>
      </c>
      <c r="F252" s="41">
        <f>F253</f>
        <v>103200</v>
      </c>
      <c r="G252" s="41">
        <f>G253</f>
        <v>101348</v>
      </c>
      <c r="H252" s="41">
        <f>H253</f>
        <v>0</v>
      </c>
      <c r="I252" s="39">
        <f t="shared" si="47"/>
        <v>0</v>
      </c>
      <c r="J252" s="41">
        <f>J253</f>
        <v>0</v>
      </c>
      <c r="K252" s="120">
        <f t="shared" si="35"/>
        <v>0</v>
      </c>
      <c r="L252" s="41">
        <f>L253</f>
        <v>150000</v>
      </c>
      <c r="M252" s="84">
        <f>M253</f>
        <v>0</v>
      </c>
      <c r="N252" s="38"/>
      <c r="O252" s="67">
        <f t="shared" si="36"/>
        <v>0.604781779958972</v>
      </c>
      <c r="P252" s="90"/>
    </row>
    <row r="253" spans="1:16" ht="12.75">
      <c r="A253" s="153"/>
      <c r="B253" s="153"/>
      <c r="C253" s="33">
        <v>4810</v>
      </c>
      <c r="D253" s="33" t="s">
        <v>155</v>
      </c>
      <c r="E253" s="6"/>
      <c r="F253" s="29">
        <v>103200</v>
      </c>
      <c r="G253" s="6">
        <v>101348</v>
      </c>
      <c r="H253" s="6"/>
      <c r="I253" s="39">
        <f t="shared" si="47"/>
        <v>0</v>
      </c>
      <c r="J253" s="25">
        <f>J254+J255+J256</f>
        <v>0</v>
      </c>
      <c r="K253" s="119">
        <f t="shared" si="35"/>
        <v>0</v>
      </c>
      <c r="L253" s="25">
        <f>L254+L255+L256</f>
        <v>150000</v>
      </c>
      <c r="M253" s="77">
        <f>M254+M255+M256</f>
        <v>0</v>
      </c>
      <c r="N253" s="36"/>
      <c r="O253" s="35">
        <f t="shared" si="36"/>
        <v>0.604781779958972</v>
      </c>
      <c r="P253" s="90"/>
    </row>
    <row r="254" spans="1:16" ht="12.75">
      <c r="A254" s="50"/>
      <c r="B254" s="50"/>
      <c r="C254" s="33"/>
      <c r="D254" s="33" t="s">
        <v>269</v>
      </c>
      <c r="E254" s="6"/>
      <c r="F254" s="29"/>
      <c r="G254" s="6"/>
      <c r="H254" s="6"/>
      <c r="I254" s="39" t="e">
        <f t="shared" si="47"/>
        <v>#DIV/0!</v>
      </c>
      <c r="J254" s="6">
        <v>0</v>
      </c>
      <c r="K254" s="119">
        <f t="shared" si="35"/>
        <v>0</v>
      </c>
      <c r="L254" s="29">
        <v>53000</v>
      </c>
      <c r="M254" s="80"/>
      <c r="N254" s="36"/>
      <c r="O254" s="35">
        <f t="shared" si="36"/>
        <v>0.21368956225217012</v>
      </c>
      <c r="P254" s="90"/>
    </row>
    <row r="255" spans="1:16" ht="12.75">
      <c r="A255" s="50"/>
      <c r="B255" s="50"/>
      <c r="C255" s="33"/>
      <c r="D255" s="55" t="s">
        <v>267</v>
      </c>
      <c r="E255" s="27"/>
      <c r="F255" s="28"/>
      <c r="G255" s="27"/>
      <c r="H255" s="27"/>
      <c r="I255" s="39" t="e">
        <f t="shared" si="47"/>
        <v>#DIV/0!</v>
      </c>
      <c r="J255" s="27">
        <v>0</v>
      </c>
      <c r="K255" s="119">
        <f t="shared" si="35"/>
        <v>0</v>
      </c>
      <c r="L255" s="28">
        <v>20000</v>
      </c>
      <c r="M255" s="82"/>
      <c r="N255" s="36"/>
      <c r="O255" s="35">
        <f t="shared" si="36"/>
        <v>0.08063757066119627</v>
      </c>
      <c r="P255" s="90"/>
    </row>
    <row r="256" spans="1:16" ht="12.75">
      <c r="A256" s="50"/>
      <c r="B256" s="50"/>
      <c r="C256" s="33"/>
      <c r="D256" s="55" t="s">
        <v>268</v>
      </c>
      <c r="E256" s="27"/>
      <c r="F256" s="28"/>
      <c r="G256" s="27"/>
      <c r="H256" s="27"/>
      <c r="I256" s="39" t="e">
        <f t="shared" si="47"/>
        <v>#DIV/0!</v>
      </c>
      <c r="J256" s="27">
        <v>0</v>
      </c>
      <c r="K256" s="119">
        <f t="shared" si="35"/>
        <v>0</v>
      </c>
      <c r="L256" s="28">
        <v>77000</v>
      </c>
      <c r="M256" s="82"/>
      <c r="N256" s="36"/>
      <c r="O256" s="35">
        <f t="shared" si="36"/>
        <v>0.3104546470456056</v>
      </c>
      <c r="P256" s="90"/>
    </row>
    <row r="257" spans="1:16" ht="15" customHeight="1">
      <c r="A257" s="134" t="s">
        <v>58</v>
      </c>
      <c r="B257" s="50"/>
      <c r="C257" s="50"/>
      <c r="D257" s="3" t="s">
        <v>20</v>
      </c>
      <c r="E257" s="5" t="e">
        <f>E264+E306+E314+#REF!+E337+E376+E390+E412+E419+E426+#REF!+E466+E480+E470</f>
        <v>#REF!</v>
      </c>
      <c r="F257" s="5" t="e">
        <f>F264+F306+F314+#REF!+F337+F376+F390+F412+F419+F426+#REF!+F466+F480+F470</f>
        <v>#REF!</v>
      </c>
      <c r="G257" s="5" t="e">
        <f>G264+G306+G314+#REF!+G337+G376+G390+G412+G419+G426+#REF!+G466+G480+G470</f>
        <v>#REF!</v>
      </c>
      <c r="H257" s="5" t="e">
        <f>H264+H306+H314+#REF!+H337+H376+H390+H412+H419+H426+#REF!+H466+H480+H470</f>
        <v>#REF!</v>
      </c>
      <c r="I257" s="39" t="e">
        <f t="shared" si="47"/>
        <v>#REF!</v>
      </c>
      <c r="J257" s="5">
        <f>J264+J306+J314+J337+J376+J390+J412+J419+J426+J466+J480+J470</f>
        <v>10585532.65</v>
      </c>
      <c r="K257" s="120">
        <f t="shared" si="35"/>
        <v>39.74678649470849</v>
      </c>
      <c r="L257" s="5">
        <f>L264+L306+L314+L337+L376+L390+L412+L419+L426+L466+L480+L470</f>
        <v>7931851.08</v>
      </c>
      <c r="M257" s="45" t="e">
        <f>M264+M306+M314+#REF!+M337+M376+M390+M412+M419+M426+#REF!+M466+M480+M470</f>
        <v>#REF!</v>
      </c>
      <c r="N257" s="38">
        <f>(L257/J257)*100</f>
        <v>74.93105299713</v>
      </c>
      <c r="O257" s="67">
        <f t="shared" si="36"/>
        <v>31.98026009687929</v>
      </c>
      <c r="P257" s="90"/>
    </row>
    <row r="258" spans="1:16" ht="12.75">
      <c r="A258" s="134"/>
      <c r="B258" s="50"/>
      <c r="C258" s="50"/>
      <c r="D258" s="8" t="s">
        <v>230</v>
      </c>
      <c r="E258" s="6" t="e">
        <f>E257-E260</f>
        <v>#REF!</v>
      </c>
      <c r="F258" s="6" t="e">
        <f>F257-F260</f>
        <v>#REF!</v>
      </c>
      <c r="G258" s="6" t="e">
        <f>G257-G260</f>
        <v>#REF!</v>
      </c>
      <c r="H258" s="6" t="e">
        <f>H257-H260</f>
        <v>#REF!</v>
      </c>
      <c r="I258" s="39" t="e">
        <f t="shared" si="47"/>
        <v>#REF!</v>
      </c>
      <c r="J258" s="6">
        <f>J257-J260</f>
        <v>8995852.65</v>
      </c>
      <c r="K258" s="119">
        <f t="shared" si="35"/>
        <v>33.7778217156987</v>
      </c>
      <c r="L258" s="6">
        <f>L257-L260</f>
        <v>7716051.08</v>
      </c>
      <c r="M258" s="43" t="e">
        <f>M257-M260</f>
        <v>#REF!</v>
      </c>
      <c r="N258" s="36">
        <f>(L258/J258)*100</f>
        <v>85.77342671347556</v>
      </c>
      <c r="O258" s="35">
        <f t="shared" si="36"/>
        <v>31.110180709444986</v>
      </c>
      <c r="P258" s="90"/>
    </row>
    <row r="259" spans="1:16" ht="12.75">
      <c r="A259" s="134"/>
      <c r="B259" s="50"/>
      <c r="C259" s="50"/>
      <c r="D259" s="8" t="s">
        <v>350</v>
      </c>
      <c r="E259" s="6" t="e">
        <f>E270+E271+E274+E275+E277+E278+E280+E281+E283+E284+E286+E292+E293+E343+E344+E347+E348+E350+E351+E353+E354+E356+#REF!+E357+E359+E360+E365+#REF!+E366+#REF!+#REF!+E430+E431+E434+E435+E437+E438+E440+E441+E444+E443+E446+E447+E452+E453</f>
        <v>#REF!</v>
      </c>
      <c r="F259" s="6" t="e">
        <f>F270+F271+F274+F275+F277+F278+F280+F281+F283+F284+F286+F292+F293+F343+F344+F347+F348+F350+F351+F353+F354+F356+#REF!+F357+F359+F360+F365+#REF!+F366+#REF!+#REF!+F430+F431+F434+F435+F437+F438+F440+F441+F444+F443+F446+F447+F452+F453</f>
        <v>#REF!</v>
      </c>
      <c r="G259" s="6" t="e">
        <f>G270+G271+G274+G275+G277+G278+G280+G281+G283+G284+G286+G292+G293+G343+G344+G347+G348+G350+G351+G353+G354+G356+#REF!+G357+G359+G360+G365+#REF!+G366+#REF!+#REF!+G430+G431+G434+G435+G437+G438+G440+G441+G444+G443+G446+G447+G452+G453</f>
        <v>#REF!</v>
      </c>
      <c r="H259" s="6" t="e">
        <f>H270+H271+H274+H275+H277+H278+H280+H281+H283+H284+H286+H292+H293+H343+H344+H347+H348+H350+H351+H353+H354+H356+#REF!+H357+H359+H360+H365+#REF!+H366+#REF!+#REF!+H430+H431+H434+H435+H437+H438+H440+H441+H444+H443+H446+H447+H452+H453</f>
        <v>#REF!</v>
      </c>
      <c r="I259" s="39" t="e">
        <f t="shared" si="47"/>
        <v>#REF!</v>
      </c>
      <c r="J259" s="6">
        <f>J270+J271+J274+J275+J277+J278+J280+J281+J283+J284+J286+J292+J293+J343+J344+J347+J348+J350+J351+J353+J354+J356+J357+J359+J360+J365+J366+J430+J431+J434+J435+J437+J438+J440+J441+J444+J443+J446+J447+J452+J453</f>
        <v>371386.66000000003</v>
      </c>
      <c r="K259" s="119">
        <f t="shared" si="35"/>
        <v>1.394490647761867</v>
      </c>
      <c r="L259" s="6">
        <f>L270+L271+L274+L275+L277+L278+L280+L281+L283+L284+L286+L292+L293+L343+L344+L347+L348+L350+L351+L353+L354+L356+L357+L359+L360+L365+L366+L430+L431+L434+L435+L437+L438+L440+L441+L444+L443+L446+L447+L452+L453</f>
        <v>612654.3999999999</v>
      </c>
      <c r="M259" s="43"/>
      <c r="N259" s="36"/>
      <c r="O259" s="35">
        <f t="shared" si="36"/>
        <v>2.4701481235446394</v>
      </c>
      <c r="P259" s="90"/>
    </row>
    <row r="260" spans="1:16" ht="12.75">
      <c r="A260" s="134"/>
      <c r="B260" s="50"/>
      <c r="C260" s="50"/>
      <c r="D260" s="8" t="s">
        <v>231</v>
      </c>
      <c r="E260" s="6" t="e">
        <f>E301+#REF!+E461</f>
        <v>#REF!</v>
      </c>
      <c r="F260" s="6" t="e">
        <f>F301+#REF!+F461</f>
        <v>#REF!</v>
      </c>
      <c r="G260" s="6" t="e">
        <f>G301+#REF!+G461</f>
        <v>#REF!</v>
      </c>
      <c r="H260" s="6" t="e">
        <f>H301+#REF!+H461</f>
        <v>#REF!</v>
      </c>
      <c r="I260" s="39" t="e">
        <f t="shared" si="47"/>
        <v>#REF!</v>
      </c>
      <c r="J260" s="6">
        <f>J301+J461</f>
        <v>1589680</v>
      </c>
      <c r="K260" s="119">
        <f t="shared" si="35"/>
        <v>5.9689647790097915</v>
      </c>
      <c r="L260" s="6">
        <f>L301+L427</f>
        <v>215800</v>
      </c>
      <c r="M260" s="43" t="e">
        <f>M301+#REF!+M461</f>
        <v>#REF!</v>
      </c>
      <c r="N260" s="36">
        <f>(L260/J260)*100</f>
        <v>13.575059131397513</v>
      </c>
      <c r="O260" s="35">
        <f t="shared" si="36"/>
        <v>0.8700793874343077</v>
      </c>
      <c r="P260" s="90"/>
    </row>
    <row r="261" spans="1:16" ht="12.75">
      <c r="A261" s="134"/>
      <c r="B261" s="50"/>
      <c r="C261" s="50"/>
      <c r="D261" s="8" t="s">
        <v>352</v>
      </c>
      <c r="E261" s="6">
        <f>E304+E305+E374+E375+E461+E462+E464+E465</f>
        <v>337792.1</v>
      </c>
      <c r="F261" s="6">
        <f>F304+F305+F374+F375+F461+F462+F464+F465</f>
        <v>1928620.81</v>
      </c>
      <c r="G261" s="6">
        <f>G304+G305+G374+G375+G461+G462+G464+G465</f>
        <v>2080620.81</v>
      </c>
      <c r="H261" s="6">
        <f>H304+H305+H374+H375+H461+H462+H464+H465</f>
        <v>1233829.6500000001</v>
      </c>
      <c r="I261" s="39">
        <f t="shared" si="47"/>
        <v>59.30103381019245</v>
      </c>
      <c r="J261" s="6">
        <f>J304+J305+J374+J375+J461+J462+J464+J465</f>
        <v>2080621</v>
      </c>
      <c r="K261" s="119">
        <f aca="true" t="shared" si="48" ref="K261:K324">(J261/$J$769)*100</f>
        <v>7.8123606433169765</v>
      </c>
      <c r="L261" s="6">
        <f>L304+L305+L374+L375+L461+L462+L464+L465</f>
        <v>12000</v>
      </c>
      <c r="M261" s="43"/>
      <c r="N261" s="36"/>
      <c r="O261" s="35">
        <f aca="true" t="shared" si="49" ref="O261:O324">L261/$L$769*100</f>
        <v>0.048382542396717756</v>
      </c>
      <c r="P261" s="90"/>
    </row>
    <row r="262" spans="1:16" ht="12.75">
      <c r="A262" s="134"/>
      <c r="B262" s="50"/>
      <c r="C262" s="50"/>
      <c r="D262" s="23" t="s">
        <v>353</v>
      </c>
      <c r="E262" s="27" t="e">
        <f>E258+E260</f>
        <v>#REF!</v>
      </c>
      <c r="F262" s="27" t="e">
        <f>F258+F260</f>
        <v>#REF!</v>
      </c>
      <c r="G262" s="27" t="e">
        <f>G258+G260</f>
        <v>#REF!</v>
      </c>
      <c r="H262" s="27" t="e">
        <f>H258+H260</f>
        <v>#REF!</v>
      </c>
      <c r="I262" s="39" t="e">
        <f t="shared" si="47"/>
        <v>#REF!</v>
      </c>
      <c r="J262" s="27">
        <f>J258+J260</f>
        <v>10585532.65</v>
      </c>
      <c r="K262" s="119">
        <f t="shared" si="48"/>
        <v>39.74678649470849</v>
      </c>
      <c r="L262" s="27">
        <f>L258+L260</f>
        <v>7931851.08</v>
      </c>
      <c r="M262" s="31" t="e">
        <f>SUM(M258:M260)</f>
        <v>#REF!</v>
      </c>
      <c r="N262" s="36"/>
      <c r="O262" s="35">
        <f t="shared" si="49"/>
        <v>31.98026009687929</v>
      </c>
      <c r="P262" s="90"/>
    </row>
    <row r="263" spans="1:16" ht="12.75">
      <c r="A263" s="134"/>
      <c r="B263" s="50"/>
      <c r="C263" s="50"/>
      <c r="D263" s="8" t="s">
        <v>233</v>
      </c>
      <c r="E263" s="6">
        <f>E267+E307+E317</f>
        <v>0</v>
      </c>
      <c r="F263" s="6">
        <f>F267+F307+F317</f>
        <v>0</v>
      </c>
      <c r="G263" s="6">
        <f>G267+G307+G317</f>
        <v>0</v>
      </c>
      <c r="H263" s="6">
        <f>H267+H307+H317</f>
        <v>0</v>
      </c>
      <c r="I263" s="39" t="e">
        <f t="shared" si="47"/>
        <v>#DIV/0!</v>
      </c>
      <c r="J263" s="6">
        <f>J267+J307+J317</f>
        <v>0</v>
      </c>
      <c r="K263" s="119">
        <f t="shared" si="48"/>
        <v>0</v>
      </c>
      <c r="L263" s="6">
        <f>L267+L307+L317</f>
        <v>962183.6400000001</v>
      </c>
      <c r="M263" s="43">
        <f>M267+M307+M317</f>
        <v>0</v>
      </c>
      <c r="N263" s="36"/>
      <c r="O263" s="35">
        <f t="shared" si="49"/>
        <v>3.8794075629773515</v>
      </c>
      <c r="P263" s="90"/>
    </row>
    <row r="264" spans="1:16" ht="12.75">
      <c r="A264" s="134"/>
      <c r="B264" s="164">
        <v>80101</v>
      </c>
      <c r="C264" s="50"/>
      <c r="D264" s="3" t="s">
        <v>59</v>
      </c>
      <c r="E264" s="5" t="e">
        <f>E267+E268+E269+E272+E273+E276+E279+E282+E285+E288+E289+E291+E294+E296+E297+E298+E295+E290+#REF!+E301++E300+E286+E287+E292+E293+E299+E270+E271+E274+E275+E277+E278+E280+E281+E283+E284+E304+E305</f>
        <v>#REF!</v>
      </c>
      <c r="F264" s="5" t="e">
        <f>F267+F268+F269+F272+F273+F276+F279+F282+F285+F288+F289+F291+F294+F296+F297+F298+F295+F290+#REF!+F301++F300+F286+F287+F292+F293+F299+F270+F271+F274+F275+F277+F278+F280+F281+F283+F284+F304+F305</f>
        <v>#REF!</v>
      </c>
      <c r="G264" s="5" t="e">
        <f>G267+G268+G269+G272+G273+G276+G279+G282+G285+G288+G289+G291+G294+G296+G297+G298+G295+G290+#REF!+G301++G300+G286+G287+G292+G293+G299+G270+G271+G274+G275+G277+G278+G280+G281+G283+G284+G304+G305</f>
        <v>#REF!</v>
      </c>
      <c r="H264" s="5" t="e">
        <f>H267+H268+H269+H272+H273+H276+H279+H282+H285+H288+H289+H291+H294+H296+H297+H298+H295+H290+#REF!+H301++H300+H286+H287+H292+H293+H299+H270+H271+H274+H275+H277+H278+H280+H281+H283+H284+H304+H305</f>
        <v>#REF!</v>
      </c>
      <c r="I264" s="39" t="e">
        <f t="shared" si="47"/>
        <v>#REF!</v>
      </c>
      <c r="J264" s="5">
        <f>J267+J268+J269+J272+J273+J276+J279+J282+J285+J288+J289+J291+J294+J296+J297+J298+J295+J290+J301++J300+J286+J287+J292+J293+J299+J270+J271+J274+J275+J277+J278+J280+J281+J283+J284+J304+J305</f>
        <v>3793934.62</v>
      </c>
      <c r="K264" s="120">
        <f t="shared" si="48"/>
        <v>14.245547607471881</v>
      </c>
      <c r="L264" s="5">
        <f>L267+L268+L269+L272+L273+L276+L279+L282+L285+L288+L289+L291+L294+L296+L297+L298+L295+L290+L301++L300+L286+L287+L292+L293+L299+L270+L271+L274+L275+L277+L278+L280+L281+L283+L284+L304+L305</f>
        <v>3083478.02</v>
      </c>
      <c r="M264" s="45" t="e">
        <f>M267+M268+M269+M272+M273+M276+M279+M282+M285+M288+M289+M291+M294+M296+M297+M298+M295+M290+#REF!+M301++M300+M286+M287+M292+M293+M299+M270+M271+M274+M275+M277+M278+M280+M281+M283+M284+M304+M305</f>
        <v>#REF!</v>
      </c>
      <c r="N264" s="38">
        <f>(L264/J264)*100</f>
        <v>81.27388394478974</v>
      </c>
      <c r="O264" s="67">
        <f t="shared" si="49"/>
        <v>12.432208835999777</v>
      </c>
      <c r="P264" s="90"/>
    </row>
    <row r="265" spans="1:16" ht="12.75">
      <c r="A265" s="134"/>
      <c r="B265" s="145"/>
      <c r="C265" s="50"/>
      <c r="D265" s="3" t="s">
        <v>275</v>
      </c>
      <c r="E265" s="5"/>
      <c r="F265" s="5"/>
      <c r="G265" s="5"/>
      <c r="H265" s="5"/>
      <c r="I265" s="39" t="e">
        <f t="shared" si="47"/>
        <v>#DIV/0!</v>
      </c>
      <c r="J265" s="5"/>
      <c r="K265" s="119">
        <f t="shared" si="48"/>
        <v>0</v>
      </c>
      <c r="L265" s="5"/>
      <c r="M265" s="81"/>
      <c r="N265" s="36"/>
      <c r="O265" s="35">
        <f t="shared" si="49"/>
        <v>0</v>
      </c>
      <c r="P265" s="90"/>
    </row>
    <row r="266" spans="1:16" ht="12.75">
      <c r="A266" s="134"/>
      <c r="B266" s="145"/>
      <c r="C266" s="50"/>
      <c r="D266" s="3" t="s">
        <v>276</v>
      </c>
      <c r="E266" s="5">
        <f>E301+E304+E305</f>
        <v>0</v>
      </c>
      <c r="F266" s="5">
        <f>F301+F304+F305</f>
        <v>150000</v>
      </c>
      <c r="G266" s="5" t="e">
        <f>G301+G304+G305</f>
        <v>#REF!</v>
      </c>
      <c r="H266" s="5" t="e">
        <f>H301+H304+H305</f>
        <v>#REF!</v>
      </c>
      <c r="I266" s="39" t="e">
        <f t="shared" si="47"/>
        <v>#REF!</v>
      </c>
      <c r="J266" s="5">
        <f>J301+J304+J305</f>
        <v>70000</v>
      </c>
      <c r="K266" s="119">
        <f t="shared" si="48"/>
        <v>0.2628375110278078</v>
      </c>
      <c r="L266" s="5">
        <f>L301+L304+L305</f>
        <v>198800</v>
      </c>
      <c r="M266" s="45" t="e">
        <f>M301+M304+M305</f>
        <v>#REF!</v>
      </c>
      <c r="N266" s="36"/>
      <c r="O266" s="35">
        <f t="shared" si="49"/>
        <v>0.8015374523722908</v>
      </c>
      <c r="P266" s="90"/>
    </row>
    <row r="267" spans="1:16" ht="26.25" customHeight="1">
      <c r="A267" s="134"/>
      <c r="B267" s="130"/>
      <c r="C267" s="33">
        <v>2590</v>
      </c>
      <c r="D267" s="4" t="s">
        <v>328</v>
      </c>
      <c r="E267" s="6"/>
      <c r="F267" s="6"/>
      <c r="G267" s="6"/>
      <c r="H267" s="6"/>
      <c r="I267" s="39" t="e">
        <f t="shared" si="47"/>
        <v>#DIV/0!</v>
      </c>
      <c r="J267" s="6"/>
      <c r="K267" s="119">
        <f t="shared" si="48"/>
        <v>0</v>
      </c>
      <c r="L267" s="29">
        <v>741488.52</v>
      </c>
      <c r="M267" s="80"/>
      <c r="N267" s="36"/>
      <c r="O267" s="35">
        <f t="shared" si="49"/>
        <v>2.989591646298292</v>
      </c>
      <c r="P267" s="90"/>
    </row>
    <row r="268" spans="1:16" ht="12.75">
      <c r="A268" s="134"/>
      <c r="B268" s="130"/>
      <c r="C268" s="33">
        <v>3020</v>
      </c>
      <c r="D268" s="4" t="s">
        <v>157</v>
      </c>
      <c r="E268" s="6">
        <v>159497.1</v>
      </c>
      <c r="F268" s="6">
        <v>159880</v>
      </c>
      <c r="G268" s="6">
        <v>159880</v>
      </c>
      <c r="H268" s="6">
        <v>106590.94</v>
      </c>
      <c r="I268" s="39">
        <f t="shared" si="47"/>
        <v>66.66933950462848</v>
      </c>
      <c r="J268" s="6">
        <v>155470</v>
      </c>
      <c r="K268" s="119">
        <f t="shared" si="48"/>
        <v>0.583762111992761</v>
      </c>
      <c r="L268" s="29">
        <v>88144</v>
      </c>
      <c r="M268" s="80"/>
      <c r="N268" s="36">
        <f>(L268/J268)*100</f>
        <v>56.69518235029266</v>
      </c>
      <c r="O268" s="35">
        <f t="shared" si="49"/>
        <v>0.3553859014180242</v>
      </c>
      <c r="P268" s="90"/>
    </row>
    <row r="269" spans="1:16" ht="12.75">
      <c r="A269" s="134"/>
      <c r="B269" s="130"/>
      <c r="C269" s="33">
        <v>4010</v>
      </c>
      <c r="D269" s="4" t="s">
        <v>95</v>
      </c>
      <c r="E269" s="6">
        <v>2194794.16</v>
      </c>
      <c r="F269" s="6">
        <v>2106053</v>
      </c>
      <c r="G269" s="6">
        <v>2106053</v>
      </c>
      <c r="H269" s="6">
        <v>1517939.1</v>
      </c>
      <c r="I269" s="39">
        <f t="shared" si="47"/>
        <v>72.07506648693077</v>
      </c>
      <c r="J269" s="6">
        <v>2333930</v>
      </c>
      <c r="K269" s="119">
        <f t="shared" si="48"/>
        <v>8.763490744473305</v>
      </c>
      <c r="L269" s="29">
        <v>1153340</v>
      </c>
      <c r="M269" s="80"/>
      <c r="N269" s="36">
        <f>(L269/J269)*100</f>
        <v>49.41622070927577</v>
      </c>
      <c r="O269" s="35">
        <f t="shared" si="49"/>
        <v>4.650126787319205</v>
      </c>
      <c r="P269" s="90"/>
    </row>
    <row r="270" spans="1:16" ht="12.75">
      <c r="A270" s="134"/>
      <c r="B270" s="130"/>
      <c r="C270" s="33">
        <v>4017</v>
      </c>
      <c r="D270" s="4" t="s">
        <v>95</v>
      </c>
      <c r="E270" s="6"/>
      <c r="F270" s="6">
        <v>36450</v>
      </c>
      <c r="G270" s="6">
        <v>17605.2</v>
      </c>
      <c r="H270" s="6"/>
      <c r="I270" s="39"/>
      <c r="J270" s="6">
        <v>17605.2</v>
      </c>
      <c r="K270" s="119">
        <f t="shared" si="48"/>
        <v>0.06610438498781086</v>
      </c>
      <c r="L270" s="29">
        <v>49050.74</v>
      </c>
      <c r="M270" s="80"/>
      <c r="N270" s="36"/>
      <c r="O270" s="35">
        <f t="shared" si="49"/>
        <v>0.19776662563669828</v>
      </c>
      <c r="P270" s="90"/>
    </row>
    <row r="271" spans="1:16" ht="12.75">
      <c r="A271" s="134"/>
      <c r="B271" s="130"/>
      <c r="C271" s="33">
        <v>4019</v>
      </c>
      <c r="D271" s="4" t="s">
        <v>95</v>
      </c>
      <c r="E271" s="6"/>
      <c r="F271" s="6"/>
      <c r="G271" s="6">
        <v>3106.8</v>
      </c>
      <c r="H271" s="6"/>
      <c r="I271" s="39"/>
      <c r="J271" s="6">
        <v>3106.8</v>
      </c>
      <c r="K271" s="119">
        <f t="shared" si="48"/>
        <v>0.01166547970373133</v>
      </c>
      <c r="L271" s="29">
        <v>8656.01</v>
      </c>
      <c r="M271" s="80"/>
      <c r="N271" s="36"/>
      <c r="O271" s="35">
        <f t="shared" si="49"/>
        <v>0.03489998090095107</v>
      </c>
      <c r="P271" s="90"/>
    </row>
    <row r="272" spans="1:16" ht="12.75">
      <c r="A272" s="134"/>
      <c r="B272" s="130"/>
      <c r="C272" s="33">
        <v>4040</v>
      </c>
      <c r="D272" s="4" t="s">
        <v>97</v>
      </c>
      <c r="E272" s="6">
        <v>175191.82</v>
      </c>
      <c r="F272" s="6">
        <v>178260</v>
      </c>
      <c r="G272" s="6">
        <v>174564</v>
      </c>
      <c r="H272" s="6">
        <v>174563.81</v>
      </c>
      <c r="I272" s="39">
        <f>(H272/G272)*100</f>
        <v>99.99989115739785</v>
      </c>
      <c r="J272" s="6">
        <v>174564</v>
      </c>
      <c r="K272" s="119">
        <f t="shared" si="48"/>
        <v>0.6554566753579748</v>
      </c>
      <c r="L272" s="29">
        <v>108220</v>
      </c>
      <c r="M272" s="80"/>
      <c r="N272" s="36">
        <f>(L272/J272)*100</f>
        <v>61.994454755848864</v>
      </c>
      <c r="O272" s="35">
        <f t="shared" si="49"/>
        <v>0.43632989484773294</v>
      </c>
      <c r="P272" s="90"/>
    </row>
    <row r="273" spans="1:16" ht="12.75">
      <c r="A273" s="134"/>
      <c r="B273" s="130"/>
      <c r="C273" s="33">
        <v>4110</v>
      </c>
      <c r="D273" s="4" t="s">
        <v>84</v>
      </c>
      <c r="E273" s="6">
        <v>373525.09</v>
      </c>
      <c r="F273" s="6">
        <v>362060</v>
      </c>
      <c r="G273" s="6">
        <v>405158</v>
      </c>
      <c r="H273" s="6">
        <v>276972.99</v>
      </c>
      <c r="I273" s="39">
        <f>(H273/G273)*100</f>
        <v>68.36172308087215</v>
      </c>
      <c r="J273" s="6">
        <v>402500</v>
      </c>
      <c r="K273" s="119">
        <f t="shared" si="48"/>
        <v>1.5113156884098946</v>
      </c>
      <c r="L273" s="29">
        <v>230460</v>
      </c>
      <c r="M273" s="80"/>
      <c r="N273" s="36">
        <f>(L273/J273)*100</f>
        <v>57.25714285714286</v>
      </c>
      <c r="O273" s="35">
        <f t="shared" si="49"/>
        <v>0.9291867267289646</v>
      </c>
      <c r="P273" s="90"/>
    </row>
    <row r="274" spans="1:16" ht="12.75">
      <c r="A274" s="134"/>
      <c r="B274" s="130"/>
      <c r="C274" s="33">
        <v>4117</v>
      </c>
      <c r="D274" s="4" t="s">
        <v>84</v>
      </c>
      <c r="E274" s="6"/>
      <c r="F274" s="6"/>
      <c r="G274" s="6">
        <v>3418.7</v>
      </c>
      <c r="H274" s="6"/>
      <c r="I274" s="39"/>
      <c r="J274" s="6">
        <v>3418.7</v>
      </c>
      <c r="K274" s="119">
        <f t="shared" si="48"/>
        <v>0.012836608556439519</v>
      </c>
      <c r="L274" s="29">
        <v>8525.02</v>
      </c>
      <c r="M274" s="80"/>
      <c r="N274" s="36"/>
      <c r="O274" s="35">
        <f t="shared" si="49"/>
        <v>0.03437184513190557</v>
      </c>
      <c r="P274" s="90"/>
    </row>
    <row r="275" spans="1:16" ht="12.75">
      <c r="A275" s="134"/>
      <c r="B275" s="130"/>
      <c r="C275" s="33">
        <v>4119</v>
      </c>
      <c r="D275" s="4" t="s">
        <v>84</v>
      </c>
      <c r="E275" s="6"/>
      <c r="F275" s="6"/>
      <c r="G275" s="6">
        <v>603.3</v>
      </c>
      <c r="H275" s="6"/>
      <c r="I275" s="39"/>
      <c r="J275" s="6">
        <v>603.3</v>
      </c>
      <c r="K275" s="119">
        <f t="shared" si="48"/>
        <v>0.002265283862901091</v>
      </c>
      <c r="L275" s="29">
        <v>1504.41</v>
      </c>
      <c r="M275" s="80"/>
      <c r="N275" s="36"/>
      <c r="O275" s="35">
        <f t="shared" si="49"/>
        <v>0.006065598383920514</v>
      </c>
      <c r="P275" s="90"/>
    </row>
    <row r="276" spans="1:16" ht="12.75">
      <c r="A276" s="134"/>
      <c r="B276" s="130"/>
      <c r="C276" s="33">
        <v>4120</v>
      </c>
      <c r="D276" s="4" t="s">
        <v>106</v>
      </c>
      <c r="E276" s="6">
        <v>57863.53</v>
      </c>
      <c r="F276" s="6">
        <v>58214</v>
      </c>
      <c r="G276" s="6">
        <v>58214</v>
      </c>
      <c r="H276" s="6">
        <v>37364.39</v>
      </c>
      <c r="I276" s="39">
        <f>(H276/G276)*100</f>
        <v>64.18454323702201</v>
      </c>
      <c r="J276" s="6">
        <v>55900</v>
      </c>
      <c r="K276" s="119">
        <f t="shared" si="48"/>
        <v>0.20989452666363506</v>
      </c>
      <c r="L276" s="29">
        <v>32850</v>
      </c>
      <c r="M276" s="80"/>
      <c r="N276" s="36">
        <f>(L276/J276)*100</f>
        <v>58.765652951699465</v>
      </c>
      <c r="O276" s="35">
        <f t="shared" si="49"/>
        <v>0.13244720981101488</v>
      </c>
      <c r="P276" s="90"/>
    </row>
    <row r="277" spans="1:16" ht="12.75">
      <c r="A277" s="134"/>
      <c r="B277" s="130"/>
      <c r="C277" s="33">
        <v>4127</v>
      </c>
      <c r="D277" s="4" t="s">
        <v>106</v>
      </c>
      <c r="E277" s="6"/>
      <c r="F277" s="6"/>
      <c r="G277" s="6">
        <v>506.6</v>
      </c>
      <c r="H277" s="6"/>
      <c r="I277" s="39"/>
      <c r="J277" s="6">
        <v>506.6</v>
      </c>
      <c r="K277" s="119">
        <f t="shared" si="48"/>
        <v>0.0019021926155241057</v>
      </c>
      <c r="L277" s="29">
        <v>1201.75</v>
      </c>
      <c r="M277" s="80"/>
      <c r="N277" s="36"/>
      <c r="O277" s="35">
        <f t="shared" si="49"/>
        <v>0.00484531002710463</v>
      </c>
      <c r="P277" s="90"/>
    </row>
    <row r="278" spans="1:16" ht="12.75">
      <c r="A278" s="134"/>
      <c r="B278" s="130"/>
      <c r="C278" s="33">
        <v>4129</v>
      </c>
      <c r="D278" s="4" t="s">
        <v>106</v>
      </c>
      <c r="E278" s="6"/>
      <c r="F278" s="6"/>
      <c r="G278" s="6">
        <v>89.4</v>
      </c>
      <c r="H278" s="6"/>
      <c r="I278" s="39"/>
      <c r="J278" s="6">
        <v>89.4</v>
      </c>
      <c r="K278" s="119">
        <f t="shared" si="48"/>
        <v>0.0003356810497983716</v>
      </c>
      <c r="L278" s="29">
        <v>212.07</v>
      </c>
      <c r="M278" s="80"/>
      <c r="N278" s="36"/>
      <c r="O278" s="35">
        <f t="shared" si="49"/>
        <v>0.0008550404805059945</v>
      </c>
      <c r="P278" s="90"/>
    </row>
    <row r="279" spans="1:16" ht="12.75">
      <c r="A279" s="134"/>
      <c r="B279" s="130"/>
      <c r="C279" s="33">
        <v>4170</v>
      </c>
      <c r="D279" s="4" t="s">
        <v>159</v>
      </c>
      <c r="E279" s="6">
        <v>32559.35</v>
      </c>
      <c r="F279" s="6">
        <v>7000</v>
      </c>
      <c r="G279" s="6">
        <v>20296</v>
      </c>
      <c r="H279" s="6">
        <v>16943</v>
      </c>
      <c r="I279" s="39">
        <f>(H279/G279)*100</f>
        <v>83.47950335041388</v>
      </c>
      <c r="J279" s="6">
        <v>20446</v>
      </c>
      <c r="K279" s="119">
        <f t="shared" si="48"/>
        <v>0.07677108214963653</v>
      </c>
      <c r="L279" s="29">
        <v>5000</v>
      </c>
      <c r="M279" s="80"/>
      <c r="N279" s="36">
        <f>(L279/J279)*100</f>
        <v>24.454661058397733</v>
      </c>
      <c r="O279" s="35">
        <f t="shared" si="49"/>
        <v>0.020159392665299068</v>
      </c>
      <c r="P279" s="90"/>
    </row>
    <row r="280" spans="1:16" ht="12.75">
      <c r="A280" s="134"/>
      <c r="B280" s="130"/>
      <c r="C280" s="33">
        <v>4177</v>
      </c>
      <c r="D280" s="4" t="s">
        <v>159</v>
      </c>
      <c r="E280" s="6"/>
      <c r="F280" s="6"/>
      <c r="G280" s="6">
        <v>13260</v>
      </c>
      <c r="H280" s="6">
        <v>4488</v>
      </c>
      <c r="I280" s="39"/>
      <c r="J280" s="6">
        <v>13260</v>
      </c>
      <c r="K280" s="119">
        <f t="shared" si="48"/>
        <v>0.049788934231839006</v>
      </c>
      <c r="L280" s="29">
        <v>33983</v>
      </c>
      <c r="M280" s="80"/>
      <c r="N280" s="36"/>
      <c r="O280" s="35">
        <f t="shared" si="49"/>
        <v>0.13701532818897164</v>
      </c>
      <c r="P280" s="90"/>
    </row>
    <row r="281" spans="1:16" ht="12.75">
      <c r="A281" s="134"/>
      <c r="B281" s="130"/>
      <c r="C281" s="33">
        <v>4179</v>
      </c>
      <c r="D281" s="4" t="s">
        <v>159</v>
      </c>
      <c r="E281" s="6"/>
      <c r="F281" s="6"/>
      <c r="G281" s="6">
        <v>8998</v>
      </c>
      <c r="H281" s="6">
        <v>792</v>
      </c>
      <c r="I281" s="39"/>
      <c r="J281" s="6">
        <v>2340</v>
      </c>
      <c r="K281" s="119">
        <f t="shared" si="48"/>
        <v>0.008786282511501</v>
      </c>
      <c r="L281" s="29">
        <v>5997</v>
      </c>
      <c r="M281" s="80"/>
      <c r="N281" s="36"/>
      <c r="O281" s="35">
        <f t="shared" si="49"/>
        <v>0.0241791755627597</v>
      </c>
      <c r="P281" s="90"/>
    </row>
    <row r="282" spans="1:16" ht="12.75">
      <c r="A282" s="134"/>
      <c r="B282" s="130"/>
      <c r="C282" s="33">
        <v>4210</v>
      </c>
      <c r="D282" s="4" t="s">
        <v>74</v>
      </c>
      <c r="E282" s="6">
        <v>148478.28</v>
      </c>
      <c r="F282" s="6">
        <v>166550</v>
      </c>
      <c r="G282" s="6">
        <v>170550</v>
      </c>
      <c r="H282" s="6">
        <v>91814.78</v>
      </c>
      <c r="I282" s="39">
        <f>(H282/G282)*100</f>
        <v>53.834523600117265</v>
      </c>
      <c r="J282" s="6">
        <v>170500</v>
      </c>
      <c r="K282" s="119">
        <f t="shared" si="48"/>
        <v>0.6401970804320175</v>
      </c>
      <c r="L282" s="29">
        <v>189834</v>
      </c>
      <c r="M282" s="80"/>
      <c r="N282" s="36">
        <f>(L282/J282)*100</f>
        <v>111.33958944281525</v>
      </c>
      <c r="O282" s="35">
        <f t="shared" si="49"/>
        <v>0.7653876294448765</v>
      </c>
      <c r="P282" s="90"/>
    </row>
    <row r="283" spans="1:16" ht="12.75">
      <c r="A283" s="134"/>
      <c r="B283" s="130"/>
      <c r="C283" s="33">
        <v>4217</v>
      </c>
      <c r="D283" s="4" t="s">
        <v>74</v>
      </c>
      <c r="E283" s="6"/>
      <c r="F283" s="6"/>
      <c r="G283" s="6">
        <v>6670.66</v>
      </c>
      <c r="H283" s="6"/>
      <c r="I283" s="39"/>
      <c r="J283" s="6">
        <v>6670.66</v>
      </c>
      <c r="K283" s="119">
        <f t="shared" si="48"/>
        <v>0.0250471381616108</v>
      </c>
      <c r="L283" s="29">
        <v>4205.38</v>
      </c>
      <c r="M283" s="80"/>
      <c r="N283" s="36"/>
      <c r="O283" s="35">
        <f t="shared" si="49"/>
        <v>0.01695558134535908</v>
      </c>
      <c r="P283" s="90"/>
    </row>
    <row r="284" spans="1:16" ht="12.75">
      <c r="A284" s="134"/>
      <c r="B284" s="130"/>
      <c r="C284" s="33">
        <v>4219</v>
      </c>
      <c r="D284" s="4" t="s">
        <v>74</v>
      </c>
      <c r="E284" s="6"/>
      <c r="F284" s="6"/>
      <c r="G284" s="6">
        <v>1177.18</v>
      </c>
      <c r="H284" s="6"/>
      <c r="I284" s="39"/>
      <c r="J284" s="6">
        <v>1177.18</v>
      </c>
      <c r="K284" s="119">
        <f t="shared" si="48"/>
        <v>0.004420100874738782</v>
      </c>
      <c r="L284" s="29">
        <v>742.12</v>
      </c>
      <c r="M284" s="80"/>
      <c r="N284" s="36"/>
      <c r="O284" s="35">
        <f t="shared" si="49"/>
        <v>0.0029921376969543486</v>
      </c>
      <c r="P284" s="90"/>
    </row>
    <row r="285" spans="1:16" ht="12.75">
      <c r="A285" s="134"/>
      <c r="B285" s="130"/>
      <c r="C285" s="33">
        <v>4240</v>
      </c>
      <c r="D285" s="4" t="s">
        <v>160</v>
      </c>
      <c r="E285" s="6">
        <v>10174.45</v>
      </c>
      <c r="F285" s="6">
        <v>8000</v>
      </c>
      <c r="G285" s="6">
        <v>8000</v>
      </c>
      <c r="H285" s="6"/>
      <c r="I285" s="39">
        <f aca="true" t="shared" si="50" ref="I285:I303">(H285/G285)*100</f>
        <v>0</v>
      </c>
      <c r="J285" s="6">
        <v>3000</v>
      </c>
      <c r="K285" s="119">
        <f t="shared" si="48"/>
        <v>0.011264464758334617</v>
      </c>
      <c r="L285" s="29">
        <v>13000</v>
      </c>
      <c r="M285" s="80"/>
      <c r="N285" s="36">
        <f aca="true" t="shared" si="51" ref="N285:N300">(L285/J285)*100</f>
        <v>433.3333333333333</v>
      </c>
      <c r="O285" s="35">
        <f t="shared" si="49"/>
        <v>0.052414420929777564</v>
      </c>
      <c r="P285" s="90"/>
    </row>
    <row r="286" spans="1:16" ht="12.75">
      <c r="A286" s="134"/>
      <c r="B286" s="130"/>
      <c r="C286" s="33">
        <v>4247</v>
      </c>
      <c r="D286" s="4" t="s">
        <v>160</v>
      </c>
      <c r="E286" s="6"/>
      <c r="F286" s="6">
        <v>64613.78</v>
      </c>
      <c r="G286" s="6">
        <v>72360.32</v>
      </c>
      <c r="H286" s="6">
        <v>59763.49</v>
      </c>
      <c r="I286" s="39">
        <f t="shared" si="50"/>
        <v>82.59152253610817</v>
      </c>
      <c r="J286" s="6">
        <v>72360.32</v>
      </c>
      <c r="K286" s="119">
        <f t="shared" si="48"/>
        <v>0.27170009151393854</v>
      </c>
      <c r="L286" s="29"/>
      <c r="M286" s="80"/>
      <c r="N286" s="36">
        <f t="shared" si="51"/>
        <v>0</v>
      </c>
      <c r="O286" s="35">
        <f t="shared" si="49"/>
        <v>0</v>
      </c>
      <c r="P286" s="90"/>
    </row>
    <row r="287" spans="1:16" ht="12.75">
      <c r="A287" s="134"/>
      <c r="B287" s="130"/>
      <c r="C287" s="33">
        <v>4249</v>
      </c>
      <c r="D287" s="4" t="s">
        <v>160</v>
      </c>
      <c r="E287" s="6"/>
      <c r="F287" s="6"/>
      <c r="G287" s="6">
        <v>12769.46</v>
      </c>
      <c r="H287" s="6">
        <v>10546.5</v>
      </c>
      <c r="I287" s="39">
        <f t="shared" si="50"/>
        <v>82.59158962086103</v>
      </c>
      <c r="J287" s="6">
        <v>12769.46</v>
      </c>
      <c r="K287" s="119">
        <f t="shared" si="48"/>
        <v>0.047947044050987854</v>
      </c>
      <c r="L287" s="29"/>
      <c r="M287" s="80"/>
      <c r="N287" s="36">
        <f t="shared" si="51"/>
        <v>0</v>
      </c>
      <c r="O287" s="35">
        <f t="shared" si="49"/>
        <v>0</v>
      </c>
      <c r="P287" s="90"/>
    </row>
    <row r="288" spans="1:16" ht="12.75">
      <c r="A288" s="134"/>
      <c r="B288" s="130"/>
      <c r="C288" s="33">
        <v>4260</v>
      </c>
      <c r="D288" s="4" t="s">
        <v>75</v>
      </c>
      <c r="E288" s="6">
        <v>35382.16</v>
      </c>
      <c r="F288" s="6">
        <v>40800</v>
      </c>
      <c r="G288" s="6">
        <v>40800</v>
      </c>
      <c r="H288" s="6">
        <v>33085.34</v>
      </c>
      <c r="I288" s="39">
        <f t="shared" si="50"/>
        <v>81.09151960784314</v>
      </c>
      <c r="J288" s="6">
        <v>42200</v>
      </c>
      <c r="K288" s="119">
        <f t="shared" si="48"/>
        <v>0.15845347093390696</v>
      </c>
      <c r="L288" s="29">
        <v>27000</v>
      </c>
      <c r="M288" s="80"/>
      <c r="N288" s="36">
        <f t="shared" si="51"/>
        <v>63.98104265402843</v>
      </c>
      <c r="O288" s="35">
        <f t="shared" si="49"/>
        <v>0.10886072039261495</v>
      </c>
      <c r="P288" s="90"/>
    </row>
    <row r="289" spans="1:16" ht="12.75">
      <c r="A289" s="134"/>
      <c r="B289" s="130"/>
      <c r="C289" s="33">
        <v>4270</v>
      </c>
      <c r="D289" s="4" t="s">
        <v>77</v>
      </c>
      <c r="E289" s="6">
        <v>3025.7</v>
      </c>
      <c r="F289" s="6">
        <v>5000</v>
      </c>
      <c r="G289" s="6">
        <v>5000</v>
      </c>
      <c r="H289" s="6">
        <v>1179.43</v>
      </c>
      <c r="I289" s="39">
        <f t="shared" si="50"/>
        <v>23.5886</v>
      </c>
      <c r="J289" s="6">
        <v>4700</v>
      </c>
      <c r="K289" s="119">
        <f t="shared" si="48"/>
        <v>0.017647661454724232</v>
      </c>
      <c r="L289" s="29">
        <v>22900</v>
      </c>
      <c r="M289" s="80"/>
      <c r="N289" s="36">
        <f t="shared" si="51"/>
        <v>487.2340425531915</v>
      </c>
      <c r="O289" s="35">
        <f t="shared" si="49"/>
        <v>0.09233001840706972</v>
      </c>
      <c r="P289" s="90"/>
    </row>
    <row r="290" spans="1:16" ht="12.75">
      <c r="A290" s="134"/>
      <c r="B290" s="130"/>
      <c r="C290" s="33">
        <v>4280</v>
      </c>
      <c r="D290" s="4" t="s">
        <v>91</v>
      </c>
      <c r="E290" s="6">
        <v>537.5</v>
      </c>
      <c r="F290" s="6">
        <v>3800</v>
      </c>
      <c r="G290" s="6">
        <v>3300</v>
      </c>
      <c r="H290" s="6">
        <v>2390</v>
      </c>
      <c r="I290" s="39">
        <f t="shared" si="50"/>
        <v>72.42424242424242</v>
      </c>
      <c r="J290" s="6">
        <v>2650</v>
      </c>
      <c r="K290" s="119">
        <f t="shared" si="48"/>
        <v>0.009950277203195579</v>
      </c>
      <c r="L290" s="29">
        <v>1000</v>
      </c>
      <c r="M290" s="80"/>
      <c r="N290" s="36">
        <f t="shared" si="51"/>
        <v>37.735849056603776</v>
      </c>
      <c r="O290" s="35">
        <f t="shared" si="49"/>
        <v>0.0040318785330598125</v>
      </c>
      <c r="P290" s="90"/>
    </row>
    <row r="291" spans="1:16" ht="12.75">
      <c r="A291" s="134"/>
      <c r="B291" s="130"/>
      <c r="C291" s="33">
        <v>4300</v>
      </c>
      <c r="D291" s="4" t="s">
        <v>87</v>
      </c>
      <c r="E291" s="6">
        <v>32039.18</v>
      </c>
      <c r="F291" s="6">
        <v>40460</v>
      </c>
      <c r="G291" s="6">
        <v>35460</v>
      </c>
      <c r="H291" s="6">
        <v>21084.02</v>
      </c>
      <c r="I291" s="39">
        <f t="shared" si="50"/>
        <v>59.45860124083474</v>
      </c>
      <c r="J291" s="6">
        <v>34210</v>
      </c>
      <c r="K291" s="119">
        <f t="shared" si="48"/>
        <v>0.12845244646087575</v>
      </c>
      <c r="L291" s="29">
        <v>28500</v>
      </c>
      <c r="M291" s="80"/>
      <c r="N291" s="36">
        <f t="shared" si="51"/>
        <v>83.30897398421514</v>
      </c>
      <c r="O291" s="35">
        <f t="shared" si="49"/>
        <v>0.11490853819220467</v>
      </c>
      <c r="P291" s="90"/>
    </row>
    <row r="292" spans="1:16" ht="12.75">
      <c r="A292" s="134"/>
      <c r="B292" s="130"/>
      <c r="C292" s="33">
        <v>4307</v>
      </c>
      <c r="D292" s="4" t="s">
        <v>87</v>
      </c>
      <c r="E292" s="6"/>
      <c r="F292" s="6"/>
      <c r="G292" s="6">
        <v>33255.4</v>
      </c>
      <c r="H292" s="6">
        <v>11233.54</v>
      </c>
      <c r="I292" s="39">
        <f t="shared" si="50"/>
        <v>33.77959669707777</v>
      </c>
      <c r="J292" s="6">
        <v>33255.4</v>
      </c>
      <c r="K292" s="119">
        <f t="shared" si="48"/>
        <v>0.12486809377477369</v>
      </c>
      <c r="L292" s="29">
        <v>45468.2</v>
      </c>
      <c r="M292" s="80"/>
      <c r="N292" s="36">
        <f t="shared" si="51"/>
        <v>136.72426132297312</v>
      </c>
      <c r="O292" s="35">
        <f t="shared" si="49"/>
        <v>0.1833222595168702</v>
      </c>
      <c r="P292" s="90"/>
    </row>
    <row r="293" spans="1:16" ht="12.75">
      <c r="A293" s="134"/>
      <c r="B293" s="130"/>
      <c r="C293" s="33">
        <v>4309</v>
      </c>
      <c r="D293" s="4" t="s">
        <v>87</v>
      </c>
      <c r="E293" s="6"/>
      <c r="F293" s="6"/>
      <c r="G293" s="6">
        <v>5868.6</v>
      </c>
      <c r="H293" s="6">
        <v>1982.36</v>
      </c>
      <c r="I293" s="39">
        <f t="shared" si="50"/>
        <v>33.779095525338235</v>
      </c>
      <c r="J293" s="6">
        <v>5868.6</v>
      </c>
      <c r="K293" s="119">
        <f t="shared" si="48"/>
        <v>0.022035545960254182</v>
      </c>
      <c r="L293" s="29">
        <v>8023.8</v>
      </c>
      <c r="M293" s="80"/>
      <c r="N293" s="36">
        <f t="shared" si="51"/>
        <v>136.72426132297312</v>
      </c>
      <c r="O293" s="35">
        <f t="shared" si="49"/>
        <v>0.032350986973565324</v>
      </c>
      <c r="P293" s="90"/>
    </row>
    <row r="294" spans="1:16" ht="12.75">
      <c r="A294" s="134"/>
      <c r="B294" s="130"/>
      <c r="C294" s="33">
        <v>4350</v>
      </c>
      <c r="D294" s="4" t="s">
        <v>133</v>
      </c>
      <c r="E294" s="6">
        <v>1791.23</v>
      </c>
      <c r="F294" s="6">
        <v>1940</v>
      </c>
      <c r="G294" s="6">
        <v>1940</v>
      </c>
      <c r="H294" s="6">
        <v>1355.6</v>
      </c>
      <c r="I294" s="39">
        <f t="shared" si="50"/>
        <v>69.8762886597938</v>
      </c>
      <c r="J294" s="6">
        <v>2050</v>
      </c>
      <c r="K294" s="119">
        <f t="shared" si="48"/>
        <v>0.007697384251528655</v>
      </c>
      <c r="L294" s="29">
        <v>650</v>
      </c>
      <c r="M294" s="80"/>
      <c r="N294" s="36">
        <f t="shared" si="51"/>
        <v>31.70731707317073</v>
      </c>
      <c r="O294" s="35">
        <f t="shared" si="49"/>
        <v>0.0026207210464888786</v>
      </c>
      <c r="P294" s="90"/>
    </row>
    <row r="295" spans="1:16" ht="22.5" customHeight="1">
      <c r="A295" s="134"/>
      <c r="B295" s="130"/>
      <c r="C295" s="33">
        <v>4370</v>
      </c>
      <c r="D295" s="4" t="s">
        <v>150</v>
      </c>
      <c r="E295" s="6">
        <v>7794.19</v>
      </c>
      <c r="F295" s="6">
        <v>8700</v>
      </c>
      <c r="G295" s="6">
        <v>8700</v>
      </c>
      <c r="H295" s="6">
        <v>5447.65</v>
      </c>
      <c r="I295" s="39">
        <f t="shared" si="50"/>
        <v>62.61666666666667</v>
      </c>
      <c r="J295" s="6">
        <v>7700</v>
      </c>
      <c r="K295" s="119">
        <f t="shared" si="48"/>
        <v>0.028912126213058855</v>
      </c>
      <c r="L295" s="29">
        <v>4800</v>
      </c>
      <c r="M295" s="80"/>
      <c r="N295" s="36">
        <f t="shared" si="51"/>
        <v>62.33766233766234</v>
      </c>
      <c r="O295" s="35">
        <f t="shared" si="49"/>
        <v>0.019353016958687103</v>
      </c>
      <c r="P295" s="90"/>
    </row>
    <row r="296" spans="1:16" ht="12.75">
      <c r="A296" s="134"/>
      <c r="B296" s="130"/>
      <c r="C296" s="33">
        <v>4410</v>
      </c>
      <c r="D296" s="4" t="s">
        <v>125</v>
      </c>
      <c r="E296" s="6">
        <v>3152.08</v>
      </c>
      <c r="F296" s="6">
        <v>4700</v>
      </c>
      <c r="G296" s="6">
        <v>4700</v>
      </c>
      <c r="H296" s="6">
        <v>729.5</v>
      </c>
      <c r="I296" s="39">
        <f t="shared" si="50"/>
        <v>15.521276595744682</v>
      </c>
      <c r="J296" s="6">
        <v>3000</v>
      </c>
      <c r="K296" s="119">
        <f t="shared" si="48"/>
        <v>0.011264464758334617</v>
      </c>
      <c r="L296" s="29">
        <v>2500</v>
      </c>
      <c r="M296" s="80"/>
      <c r="N296" s="36">
        <f t="shared" si="51"/>
        <v>83.33333333333334</v>
      </c>
      <c r="O296" s="35">
        <f t="shared" si="49"/>
        <v>0.010079696332649534</v>
      </c>
      <c r="P296" s="90"/>
    </row>
    <row r="297" spans="1:16" ht="12.75">
      <c r="A297" s="134"/>
      <c r="B297" s="130"/>
      <c r="C297" s="33">
        <v>4430</v>
      </c>
      <c r="D297" s="4" t="s">
        <v>88</v>
      </c>
      <c r="E297" s="6">
        <v>3707</v>
      </c>
      <c r="F297" s="6">
        <v>3900</v>
      </c>
      <c r="G297" s="6">
        <v>3900</v>
      </c>
      <c r="H297" s="6">
        <v>3628.25</v>
      </c>
      <c r="I297" s="39">
        <f t="shared" si="50"/>
        <v>93.03205128205128</v>
      </c>
      <c r="J297" s="6">
        <v>4770</v>
      </c>
      <c r="K297" s="119">
        <f t="shared" si="48"/>
        <v>0.01791049896575204</v>
      </c>
      <c r="L297" s="29">
        <v>2600</v>
      </c>
      <c r="M297" s="80"/>
      <c r="N297" s="36">
        <f t="shared" si="51"/>
        <v>54.50733752620545</v>
      </c>
      <c r="O297" s="35">
        <f t="shared" si="49"/>
        <v>0.010482884185955514</v>
      </c>
      <c r="P297" s="90"/>
    </row>
    <row r="298" spans="1:16" ht="12.75">
      <c r="A298" s="134"/>
      <c r="B298" s="130"/>
      <c r="C298" s="33">
        <v>4440</v>
      </c>
      <c r="D298" s="4" t="s">
        <v>161</v>
      </c>
      <c r="E298" s="6">
        <v>137859.67</v>
      </c>
      <c r="F298" s="6">
        <v>131277</v>
      </c>
      <c r="G298" s="6">
        <v>131277</v>
      </c>
      <c r="H298" s="6">
        <v>127277.92</v>
      </c>
      <c r="I298" s="39">
        <f t="shared" si="50"/>
        <v>96.95370857042741</v>
      </c>
      <c r="J298" s="6">
        <v>127282</v>
      </c>
      <c r="K298" s="119">
        <f t="shared" si="48"/>
        <v>0.47792120112344894</v>
      </c>
      <c r="L298" s="29">
        <v>61222</v>
      </c>
      <c r="M298" s="80"/>
      <c r="N298" s="36">
        <f t="shared" si="51"/>
        <v>48.099495608177115</v>
      </c>
      <c r="O298" s="35">
        <f t="shared" si="49"/>
        <v>0.24683966755098788</v>
      </c>
      <c r="P298" s="90"/>
    </row>
    <row r="299" spans="1:16" ht="12.75">
      <c r="A299" s="134"/>
      <c r="B299" s="130"/>
      <c r="C299" s="33">
        <v>4520</v>
      </c>
      <c r="D299" s="4" t="s">
        <v>303</v>
      </c>
      <c r="E299" s="6">
        <v>2541</v>
      </c>
      <c r="F299" s="6">
        <v>4000</v>
      </c>
      <c r="G299" s="6">
        <v>4031</v>
      </c>
      <c r="H299" s="6">
        <v>4031</v>
      </c>
      <c r="I299" s="39">
        <f t="shared" si="50"/>
        <v>100</v>
      </c>
      <c r="J299" s="6">
        <v>4031</v>
      </c>
      <c r="K299" s="119">
        <f t="shared" si="48"/>
        <v>0.015135685813615614</v>
      </c>
      <c r="L299" s="29">
        <v>3000</v>
      </c>
      <c r="M299" s="80"/>
      <c r="N299" s="36">
        <f t="shared" si="51"/>
        <v>74.42322004465393</v>
      </c>
      <c r="O299" s="35">
        <f t="shared" si="49"/>
        <v>0.012095635599179439</v>
      </c>
      <c r="P299" s="90"/>
    </row>
    <row r="300" spans="1:16" ht="22.5">
      <c r="A300" s="134"/>
      <c r="B300" s="130"/>
      <c r="C300" s="33">
        <v>4700</v>
      </c>
      <c r="D300" s="4" t="s">
        <v>248</v>
      </c>
      <c r="E300" s="6">
        <v>1437.2</v>
      </c>
      <c r="F300" s="6">
        <v>1400</v>
      </c>
      <c r="G300" s="6">
        <v>1369</v>
      </c>
      <c r="H300" s="6"/>
      <c r="I300" s="39">
        <f t="shared" si="50"/>
        <v>0</v>
      </c>
      <c r="J300" s="6">
        <v>2000</v>
      </c>
      <c r="K300" s="119">
        <f t="shared" si="48"/>
        <v>0.0075096431722230786</v>
      </c>
      <c r="L300" s="29">
        <v>600</v>
      </c>
      <c r="M300" s="80"/>
      <c r="N300" s="36">
        <f t="shared" si="51"/>
        <v>30</v>
      </c>
      <c r="O300" s="35">
        <f t="shared" si="49"/>
        <v>0.002419127119835888</v>
      </c>
      <c r="P300" s="90"/>
    </row>
    <row r="301" spans="1:16" ht="11.25" customHeight="1">
      <c r="A301" s="134"/>
      <c r="B301" s="130"/>
      <c r="C301" s="56">
        <v>6050</v>
      </c>
      <c r="D301" s="24" t="s">
        <v>38</v>
      </c>
      <c r="E301" s="25"/>
      <c r="F301" s="25">
        <v>150000</v>
      </c>
      <c r="G301" s="25" t="e">
        <f>#REF!+G302+G303</f>
        <v>#REF!</v>
      </c>
      <c r="H301" s="25" t="e">
        <f>#REF!+H302+H303</f>
        <v>#REF!</v>
      </c>
      <c r="I301" s="39" t="e">
        <f t="shared" si="50"/>
        <v>#REF!</v>
      </c>
      <c r="J301" s="25">
        <f>J302+J303</f>
        <v>0</v>
      </c>
      <c r="K301" s="119">
        <f t="shared" si="48"/>
        <v>0</v>
      </c>
      <c r="L301" s="25">
        <f>L302+L303</f>
        <v>198800</v>
      </c>
      <c r="M301" s="78" t="e">
        <f>#REF!+M302+M303</f>
        <v>#REF!</v>
      </c>
      <c r="N301" s="36"/>
      <c r="O301" s="35">
        <f t="shared" si="49"/>
        <v>0.8015374523722908</v>
      </c>
      <c r="P301" s="90"/>
    </row>
    <row r="302" spans="1:16" ht="12.75">
      <c r="A302" s="134"/>
      <c r="B302" s="158"/>
      <c r="C302" s="56"/>
      <c r="D302" s="23" t="s">
        <v>327</v>
      </c>
      <c r="E302" s="25"/>
      <c r="F302" s="25"/>
      <c r="G302" s="6"/>
      <c r="H302" s="6"/>
      <c r="I302" s="39" t="e">
        <f t="shared" si="50"/>
        <v>#DIV/0!</v>
      </c>
      <c r="J302" s="25"/>
      <c r="K302" s="119">
        <f t="shared" si="48"/>
        <v>0</v>
      </c>
      <c r="L302" s="29">
        <v>73300</v>
      </c>
      <c r="M302" s="80">
        <v>20</v>
      </c>
      <c r="N302" s="36"/>
      <c r="O302" s="35">
        <f t="shared" si="49"/>
        <v>0.2955366964732843</v>
      </c>
      <c r="P302" s="90"/>
    </row>
    <row r="303" spans="1:16" ht="15.75" customHeight="1">
      <c r="A303" s="134"/>
      <c r="B303" s="158"/>
      <c r="C303" s="56"/>
      <c r="D303" s="23" t="s">
        <v>307</v>
      </c>
      <c r="E303" s="25"/>
      <c r="F303" s="25"/>
      <c r="G303" s="6"/>
      <c r="H303" s="6"/>
      <c r="I303" s="39" t="e">
        <f t="shared" si="50"/>
        <v>#DIV/0!</v>
      </c>
      <c r="J303" s="25"/>
      <c r="K303" s="119">
        <f t="shared" si="48"/>
        <v>0</v>
      </c>
      <c r="L303" s="29">
        <v>125500</v>
      </c>
      <c r="M303" s="80">
        <v>50</v>
      </c>
      <c r="N303" s="36"/>
      <c r="O303" s="35">
        <f t="shared" si="49"/>
        <v>0.5060007558990065</v>
      </c>
      <c r="P303" s="90"/>
    </row>
    <row r="304" spans="1:16" ht="12.75">
      <c r="A304" s="134"/>
      <c r="B304" s="158"/>
      <c r="C304" s="56">
        <v>6057</v>
      </c>
      <c r="D304" s="24" t="s">
        <v>38</v>
      </c>
      <c r="E304" s="25"/>
      <c r="F304" s="25"/>
      <c r="G304" s="6">
        <v>25000</v>
      </c>
      <c r="H304" s="6"/>
      <c r="I304" s="39"/>
      <c r="J304" s="25">
        <v>25000</v>
      </c>
      <c r="K304" s="119">
        <f t="shared" si="48"/>
        <v>0.09387053965278848</v>
      </c>
      <c r="L304" s="29"/>
      <c r="M304" s="80"/>
      <c r="N304" s="36"/>
      <c r="O304" s="35">
        <f t="shared" si="49"/>
        <v>0</v>
      </c>
      <c r="P304" s="90"/>
    </row>
    <row r="305" spans="1:16" ht="12.75">
      <c r="A305" s="134"/>
      <c r="B305" s="158"/>
      <c r="C305" s="56">
        <v>6059</v>
      </c>
      <c r="D305" s="24" t="s">
        <v>38</v>
      </c>
      <c r="E305" s="25"/>
      <c r="F305" s="25"/>
      <c r="G305" s="6">
        <v>45000</v>
      </c>
      <c r="H305" s="6"/>
      <c r="I305" s="39"/>
      <c r="J305" s="25">
        <v>45000</v>
      </c>
      <c r="K305" s="119">
        <f t="shared" si="48"/>
        <v>0.16896697137501926</v>
      </c>
      <c r="L305" s="29"/>
      <c r="M305" s="80"/>
      <c r="N305" s="36"/>
      <c r="O305" s="35">
        <f t="shared" si="49"/>
        <v>0</v>
      </c>
      <c r="P305" s="90"/>
    </row>
    <row r="306" spans="1:16" ht="12.75">
      <c r="A306" s="134"/>
      <c r="B306" s="153">
        <v>80103</v>
      </c>
      <c r="C306" s="50"/>
      <c r="D306" s="3" t="s">
        <v>162</v>
      </c>
      <c r="E306" s="5" t="e">
        <f>E307+E308+E309+E310+E311+E312+E313+#REF!</f>
        <v>#REF!</v>
      </c>
      <c r="F306" s="5" t="e">
        <f>F307+F308+F309+F310+F311+F312+F313+#REF!</f>
        <v>#REF!</v>
      </c>
      <c r="G306" s="5" t="e">
        <f>G307+G308+G309+G310+G311+G312+G313+#REF!</f>
        <v>#REF!</v>
      </c>
      <c r="H306" s="5" t="e">
        <f>H307+H308+H309+H310+H311+H312+H313+#REF!</f>
        <v>#REF!</v>
      </c>
      <c r="I306" s="39" t="e">
        <f aca="true" t="shared" si="52" ref="I306:I313">(H306/G306)*100</f>
        <v>#REF!</v>
      </c>
      <c r="J306" s="5">
        <f>J307+J308+J309+J310+J311+J312+J313</f>
        <v>132550</v>
      </c>
      <c r="K306" s="120">
        <f t="shared" si="48"/>
        <v>0.4977016012390845</v>
      </c>
      <c r="L306" s="5">
        <f>L307+L308+L309+L310+L311+L312+L313</f>
        <v>150328.56</v>
      </c>
      <c r="M306" s="45" t="e">
        <f>M307+M308+M309+M310+M311+M312+M313+#REF!</f>
        <v>#REF!</v>
      </c>
      <c r="N306" s="38">
        <f aca="true" t="shared" si="53" ref="N306:N312">(L306/J306)*100</f>
        <v>113.41271972840437</v>
      </c>
      <c r="O306" s="67">
        <f t="shared" si="49"/>
        <v>0.6061064939697941</v>
      </c>
      <c r="P306" s="90"/>
    </row>
    <row r="307" spans="1:16" ht="22.5">
      <c r="A307" s="134"/>
      <c r="B307" s="154"/>
      <c r="C307" s="33">
        <v>2590</v>
      </c>
      <c r="D307" s="4" t="s">
        <v>328</v>
      </c>
      <c r="E307" s="6"/>
      <c r="F307" s="6"/>
      <c r="G307" s="6"/>
      <c r="H307" s="6"/>
      <c r="I307" s="39" t="e">
        <f t="shared" si="52"/>
        <v>#DIV/0!</v>
      </c>
      <c r="J307" s="6"/>
      <c r="K307" s="119">
        <f t="shared" si="48"/>
        <v>0</v>
      </c>
      <c r="L307" s="29">
        <v>150328.56</v>
      </c>
      <c r="M307" s="80"/>
      <c r="N307" s="36"/>
      <c r="O307" s="35">
        <f t="shared" si="49"/>
        <v>0.6061064939697941</v>
      </c>
      <c r="P307" s="90"/>
    </row>
    <row r="308" spans="1:16" ht="12.75">
      <c r="A308" s="134"/>
      <c r="B308" s="154"/>
      <c r="C308" s="33">
        <v>3020</v>
      </c>
      <c r="D308" s="4" t="s">
        <v>157</v>
      </c>
      <c r="E308" s="6">
        <v>7193.62</v>
      </c>
      <c r="F308" s="6">
        <v>8450</v>
      </c>
      <c r="G308" s="6">
        <v>8450</v>
      </c>
      <c r="H308" s="6">
        <v>5392.22</v>
      </c>
      <c r="I308" s="39">
        <f t="shared" si="52"/>
        <v>63.81325443786983</v>
      </c>
      <c r="J308" s="6">
        <v>7998</v>
      </c>
      <c r="K308" s="119">
        <f t="shared" si="48"/>
        <v>0.03003106304572009</v>
      </c>
      <c r="L308" s="29"/>
      <c r="M308" s="80"/>
      <c r="N308" s="36">
        <f t="shared" si="53"/>
        <v>0</v>
      </c>
      <c r="O308" s="35">
        <f t="shared" si="49"/>
        <v>0</v>
      </c>
      <c r="P308" s="90"/>
    </row>
    <row r="309" spans="1:16" ht="12.75">
      <c r="A309" s="134"/>
      <c r="B309" s="154"/>
      <c r="C309" s="33">
        <v>4010</v>
      </c>
      <c r="D309" s="4" t="s">
        <v>95</v>
      </c>
      <c r="E309" s="6">
        <v>92621.4</v>
      </c>
      <c r="F309" s="6">
        <v>93414</v>
      </c>
      <c r="G309" s="6">
        <v>93414</v>
      </c>
      <c r="H309" s="6">
        <v>65962.99</v>
      </c>
      <c r="I309" s="39">
        <f t="shared" si="52"/>
        <v>70.61360181557369</v>
      </c>
      <c r="J309" s="6">
        <v>90000</v>
      </c>
      <c r="K309" s="119">
        <f t="shared" si="48"/>
        <v>0.3379339427500385</v>
      </c>
      <c r="L309" s="29"/>
      <c r="M309" s="80"/>
      <c r="N309" s="36">
        <f t="shared" si="53"/>
        <v>0</v>
      </c>
      <c r="O309" s="35">
        <f t="shared" si="49"/>
        <v>0</v>
      </c>
      <c r="P309" s="90"/>
    </row>
    <row r="310" spans="1:16" ht="12.75">
      <c r="A310" s="134"/>
      <c r="B310" s="154"/>
      <c r="C310" s="33">
        <v>4040</v>
      </c>
      <c r="D310" s="4" t="s">
        <v>158</v>
      </c>
      <c r="E310" s="6">
        <v>8022.08</v>
      </c>
      <c r="F310" s="6">
        <v>7967</v>
      </c>
      <c r="G310" s="6">
        <v>7967</v>
      </c>
      <c r="H310" s="6">
        <v>7926.23</v>
      </c>
      <c r="I310" s="39">
        <f t="shared" si="52"/>
        <v>99.48826408936864</v>
      </c>
      <c r="J310" s="6">
        <v>7927</v>
      </c>
      <c r="K310" s="119">
        <f t="shared" si="48"/>
        <v>0.029764470713106173</v>
      </c>
      <c r="L310" s="29"/>
      <c r="M310" s="80"/>
      <c r="N310" s="36">
        <f t="shared" si="53"/>
        <v>0</v>
      </c>
      <c r="O310" s="35">
        <f t="shared" si="49"/>
        <v>0</v>
      </c>
      <c r="P310" s="90"/>
    </row>
    <row r="311" spans="1:16" ht="12.75">
      <c r="A311" s="134"/>
      <c r="B311" s="154"/>
      <c r="C311" s="33">
        <v>4110</v>
      </c>
      <c r="D311" s="4" t="s">
        <v>84</v>
      </c>
      <c r="E311" s="6">
        <v>16105.61</v>
      </c>
      <c r="F311" s="6">
        <v>16472</v>
      </c>
      <c r="G311" s="6">
        <v>18466</v>
      </c>
      <c r="H311" s="6">
        <v>12632.17</v>
      </c>
      <c r="I311" s="39">
        <f t="shared" si="52"/>
        <v>68.40772230044406</v>
      </c>
      <c r="J311" s="6">
        <v>18200</v>
      </c>
      <c r="K311" s="119">
        <f t="shared" si="48"/>
        <v>0.06833775286723001</v>
      </c>
      <c r="L311" s="29"/>
      <c r="M311" s="80"/>
      <c r="N311" s="36">
        <f t="shared" si="53"/>
        <v>0</v>
      </c>
      <c r="O311" s="35">
        <f t="shared" si="49"/>
        <v>0</v>
      </c>
      <c r="P311" s="90"/>
    </row>
    <row r="312" spans="1:16" ht="12.75">
      <c r="A312" s="134"/>
      <c r="B312" s="154"/>
      <c r="C312" s="33">
        <v>4120</v>
      </c>
      <c r="D312" s="4" t="s">
        <v>106</v>
      </c>
      <c r="E312" s="6">
        <v>2478.65</v>
      </c>
      <c r="F312" s="6">
        <v>2665</v>
      </c>
      <c r="G312" s="6">
        <v>2665</v>
      </c>
      <c r="H312" s="6">
        <v>1825.3</v>
      </c>
      <c r="I312" s="39">
        <f t="shared" si="52"/>
        <v>68.49155722326455</v>
      </c>
      <c r="J312" s="6">
        <v>2665</v>
      </c>
      <c r="K312" s="119">
        <f t="shared" si="48"/>
        <v>0.010006599526987252</v>
      </c>
      <c r="L312" s="29"/>
      <c r="M312" s="80"/>
      <c r="N312" s="36">
        <f t="shared" si="53"/>
        <v>0</v>
      </c>
      <c r="O312" s="35">
        <f t="shared" si="49"/>
        <v>0</v>
      </c>
      <c r="P312" s="90"/>
    </row>
    <row r="313" spans="1:16" ht="12.75">
      <c r="A313" s="134"/>
      <c r="B313" s="154"/>
      <c r="C313" s="33">
        <v>4440</v>
      </c>
      <c r="D313" s="4" t="s">
        <v>161</v>
      </c>
      <c r="E313" s="6">
        <v>5656.48</v>
      </c>
      <c r="F313" s="6">
        <v>5760</v>
      </c>
      <c r="G313" s="6">
        <v>5760</v>
      </c>
      <c r="H313" s="6">
        <v>5759.82</v>
      </c>
      <c r="I313" s="39">
        <f t="shared" si="52"/>
        <v>99.996875</v>
      </c>
      <c r="J313" s="6">
        <v>5760</v>
      </c>
      <c r="K313" s="119">
        <f t="shared" si="48"/>
        <v>0.02162777233600247</v>
      </c>
      <c r="L313" s="29"/>
      <c r="M313" s="80"/>
      <c r="N313" s="36">
        <f>(L313/J313)*100</f>
        <v>0</v>
      </c>
      <c r="O313" s="35">
        <f t="shared" si="49"/>
        <v>0</v>
      </c>
      <c r="P313" s="90"/>
    </row>
    <row r="314" spans="1:16" ht="12.75">
      <c r="A314" s="134"/>
      <c r="B314" s="164">
        <v>80104</v>
      </c>
      <c r="C314" s="50"/>
      <c r="D314" s="3" t="s">
        <v>21</v>
      </c>
      <c r="E314" s="5" t="e">
        <f>E317+E318+E319+E320+E321+E322+E323+E324+E325+E326+E327+E329+E333+E334+E335+E328+E332+E331+E336+#REF!+E330+#REF!</f>
        <v>#REF!</v>
      </c>
      <c r="F314" s="5" t="e">
        <f>F317+F318+F319+F320+F321+F322+F323+F324+F325+F326+F327+F329+F333+F334+F335+F328+F332+F331+F336+#REF!+F330+#REF!</f>
        <v>#REF!</v>
      </c>
      <c r="G314" s="5" t="e">
        <f>G317+G318+G319+G320+G321+G322+G323+G324+G325+G326+G327+G329+G333+G334+G335+G328+G332+G331+G336+#REF!+G330+#REF!</f>
        <v>#REF!</v>
      </c>
      <c r="H314" s="5" t="e">
        <f>H317+H318+H319+H320+H321+H322+H323+H324+H325+H326+H327+H329+H333+H334+H335+H328+H332+H331+H336+#REF!+H330+#REF!</f>
        <v>#REF!</v>
      </c>
      <c r="I314" s="5" t="e">
        <f>I317+I318+I319+I320+I321+I322+I323+I324+I325+I326+I327+I329+I333+I334+I335+I328+I332+I331+I336+#REF!+I330+#REF!</f>
        <v>#DIV/0!</v>
      </c>
      <c r="J314" s="5">
        <f>J317+J318+J319+J320+J321+J322+J323+J324+J325+J326+J327+J329+J333+J334+J335+J328+J332+J331+J336+J330</f>
        <v>435963.52</v>
      </c>
      <c r="K314" s="120">
        <f t="shared" si="48"/>
        <v>1.6369652356531699</v>
      </c>
      <c r="L314" s="5">
        <f>L317+L318+L319+L320+L321+L322+L323+L324+L325+L326+L327+L329+L333+L334+L335+L328+L332+L331+L336+L330</f>
        <v>518397.08</v>
      </c>
      <c r="M314" s="45" t="e">
        <f>M317+M318+M319+M320+M321+M322+M323+M324+M325+M326+M327+M329+M333+M334+M335+M328+M332+M331+M336+#REF!+M330+#REF!</f>
        <v>#REF!</v>
      </c>
      <c r="N314" s="38">
        <f>(L314/J314)*100</f>
        <v>118.90836187394763</v>
      </c>
      <c r="O314" s="67">
        <f t="shared" si="49"/>
        <v>2.0901140584528908</v>
      </c>
      <c r="P314" s="90"/>
    </row>
    <row r="315" spans="1:16" ht="12.75">
      <c r="A315" s="134"/>
      <c r="B315" s="145"/>
      <c r="C315" s="50"/>
      <c r="D315" s="3" t="s">
        <v>275</v>
      </c>
      <c r="E315" s="5" t="e">
        <f>E317+E318+E319+E320+E321+E322+E323+E324+E325+E326+E327+E328+E329+#REF!+E330+E331+E332+E333+E334+E335+E336+#REF!</f>
        <v>#REF!</v>
      </c>
      <c r="F315" s="5" t="e">
        <f>F317+F318+F319+F320+F321+F322+F323+F324+F325+F326+F327+F328+F329+#REF!+F330+F331+F332+F333+F334+F335+F336+#REF!</f>
        <v>#REF!</v>
      </c>
      <c r="G315" s="5" t="e">
        <f>G317+G318+G319+G320+G321+G322+G323+G324+G325+G326+G327+G328+G329+#REF!+G330+G331+G332+G333+G334+G335+G336+#REF!</f>
        <v>#REF!</v>
      </c>
      <c r="H315" s="5" t="e">
        <f>H317+H318+H319+H320+H321+H322+H323+H324+H325+H326+H327+H328+H329+#REF!+H330+H331+H332+H333+H334+H335+H336+#REF!</f>
        <v>#REF!</v>
      </c>
      <c r="I315" s="5" t="e">
        <f>I317+I318+I319+I320+I321+I322+I323+I324+I325+I326+I327+I328+I329+#REF!+I330+I331+I332+I333+I334+I335+I336+#REF!</f>
        <v>#DIV/0!</v>
      </c>
      <c r="J315" s="5">
        <f>J317+J318+J319+J320+J321+J322+J323+J324+J325+J326+J327+J328+J329+J330+J331+J332+J333+J334+J335+J336</f>
        <v>435963.52</v>
      </c>
      <c r="K315" s="120">
        <f t="shared" si="48"/>
        <v>1.6369652356531699</v>
      </c>
      <c r="L315" s="5">
        <f>L317+L318+L319+L320+L321+L322+L323+L324+L325+L326+L327+L328+L329+L330+L331+L332+L333+L334+L335+L336</f>
        <v>518397.08</v>
      </c>
      <c r="M315" s="45" t="e">
        <f>M317+M318+M319+M320+M321+M322+M323+M324+M325+M326+M327+M328+M329+#REF!+M330+M331+M332+M333+M334+M335+M336+#REF!</f>
        <v>#REF!</v>
      </c>
      <c r="N315" s="36"/>
      <c r="O315" s="35">
        <f t="shared" si="49"/>
        <v>2.0901140584528908</v>
      </c>
      <c r="P315" s="90"/>
    </row>
    <row r="316" spans="1:16" ht="12.75">
      <c r="A316" s="134"/>
      <c r="B316" s="145"/>
      <c r="C316" s="50"/>
      <c r="D316" s="3" t="s">
        <v>277</v>
      </c>
      <c r="E316" s="5"/>
      <c r="F316" s="5"/>
      <c r="G316" s="5"/>
      <c r="H316" s="5"/>
      <c r="I316" s="5" t="e">
        <f>#REF!+#REF!</f>
        <v>#REF!</v>
      </c>
      <c r="J316" s="5"/>
      <c r="K316" s="119">
        <f t="shared" si="48"/>
        <v>0</v>
      </c>
      <c r="L316" s="5"/>
      <c r="M316" s="45"/>
      <c r="N316" s="36"/>
      <c r="O316" s="35">
        <f t="shared" si="49"/>
        <v>0</v>
      </c>
      <c r="P316" s="90"/>
    </row>
    <row r="317" spans="1:16" ht="22.5">
      <c r="A317" s="134"/>
      <c r="B317" s="130"/>
      <c r="C317" s="33">
        <v>2590</v>
      </c>
      <c r="D317" s="4" t="s">
        <v>328</v>
      </c>
      <c r="E317" s="6"/>
      <c r="F317" s="6"/>
      <c r="G317" s="6"/>
      <c r="H317" s="6"/>
      <c r="I317" s="39" t="e">
        <f aca="true" t="shared" si="54" ref="I317:I336">(H317/G317)*100</f>
        <v>#DIV/0!</v>
      </c>
      <c r="J317" s="6"/>
      <c r="K317" s="119">
        <f t="shared" si="48"/>
        <v>0</v>
      </c>
      <c r="L317" s="29">
        <v>70366.56</v>
      </c>
      <c r="M317" s="80"/>
      <c r="N317" s="36"/>
      <c r="O317" s="35">
        <f t="shared" si="49"/>
        <v>0.2837094227092653</v>
      </c>
      <c r="P317" s="90"/>
    </row>
    <row r="318" spans="1:16" ht="12.75">
      <c r="A318" s="134"/>
      <c r="B318" s="130"/>
      <c r="C318" s="33">
        <v>3020</v>
      </c>
      <c r="D318" s="4" t="s">
        <v>157</v>
      </c>
      <c r="E318" s="6">
        <v>16261.18</v>
      </c>
      <c r="F318" s="6">
        <v>17104</v>
      </c>
      <c r="G318" s="6">
        <v>17104</v>
      </c>
      <c r="H318" s="6">
        <v>13712.1</v>
      </c>
      <c r="I318" s="39">
        <f t="shared" si="54"/>
        <v>80.16896632366698</v>
      </c>
      <c r="J318" s="6">
        <v>21184</v>
      </c>
      <c r="K318" s="119">
        <f t="shared" si="48"/>
        <v>0.07954214048018685</v>
      </c>
      <c r="L318" s="29">
        <v>21720</v>
      </c>
      <c r="M318" s="80"/>
      <c r="N318" s="36">
        <f aca="true" t="shared" si="55" ref="N318:N336">(L318/J318)*100</f>
        <v>102.53021148036254</v>
      </c>
      <c r="O318" s="35">
        <f t="shared" si="49"/>
        <v>0.08757240173805914</v>
      </c>
      <c r="P318" s="90"/>
    </row>
    <row r="319" spans="1:16" ht="12.75">
      <c r="A319" s="134"/>
      <c r="B319" s="130"/>
      <c r="C319" s="33">
        <v>4010</v>
      </c>
      <c r="D319" s="4" t="s">
        <v>95</v>
      </c>
      <c r="E319" s="6">
        <v>248014.41</v>
      </c>
      <c r="F319" s="6">
        <v>257653</v>
      </c>
      <c r="G319" s="6">
        <v>257653</v>
      </c>
      <c r="H319" s="6">
        <v>193040.82</v>
      </c>
      <c r="I319" s="39">
        <f t="shared" si="54"/>
        <v>74.9227915064059</v>
      </c>
      <c r="J319" s="6">
        <v>271000</v>
      </c>
      <c r="K319" s="119">
        <f t="shared" si="48"/>
        <v>1.0175566498362272</v>
      </c>
      <c r="L319" s="29">
        <v>258987</v>
      </c>
      <c r="M319" s="80"/>
      <c r="N319" s="36">
        <f t="shared" si="55"/>
        <v>95.56715867158671</v>
      </c>
      <c r="O319" s="35">
        <f t="shared" si="49"/>
        <v>1.044204125641562</v>
      </c>
      <c r="P319" s="90"/>
    </row>
    <row r="320" spans="1:16" ht="12.75">
      <c r="A320" s="134"/>
      <c r="B320" s="130"/>
      <c r="C320" s="33">
        <v>4040</v>
      </c>
      <c r="D320" s="4" t="s">
        <v>158</v>
      </c>
      <c r="E320" s="6">
        <v>17807</v>
      </c>
      <c r="F320" s="6">
        <v>15960</v>
      </c>
      <c r="G320" s="6">
        <v>16436</v>
      </c>
      <c r="H320" s="6">
        <v>16435.25</v>
      </c>
      <c r="I320" s="39">
        <f t="shared" si="54"/>
        <v>99.99543684594792</v>
      </c>
      <c r="J320" s="6">
        <v>16436</v>
      </c>
      <c r="K320" s="119">
        <f t="shared" si="48"/>
        <v>0.06171424758932925</v>
      </c>
      <c r="L320" s="29">
        <v>21960</v>
      </c>
      <c r="M320" s="80"/>
      <c r="N320" s="36">
        <f t="shared" si="55"/>
        <v>133.6091506449258</v>
      </c>
      <c r="O320" s="35">
        <f t="shared" si="49"/>
        <v>0.0885400525859935</v>
      </c>
      <c r="P320" s="90"/>
    </row>
    <row r="321" spans="1:16" ht="12.75">
      <c r="A321" s="134"/>
      <c r="B321" s="130"/>
      <c r="C321" s="33">
        <v>4110</v>
      </c>
      <c r="D321" s="4" t="s">
        <v>84</v>
      </c>
      <c r="E321" s="6">
        <v>44548.27</v>
      </c>
      <c r="F321" s="6">
        <v>49717</v>
      </c>
      <c r="G321" s="6">
        <v>55999</v>
      </c>
      <c r="H321" s="6">
        <v>35627.29</v>
      </c>
      <c r="I321" s="39">
        <f t="shared" si="54"/>
        <v>63.621296808871584</v>
      </c>
      <c r="J321" s="6">
        <v>53000</v>
      </c>
      <c r="K321" s="119">
        <f t="shared" si="48"/>
        <v>0.19900554406391155</v>
      </c>
      <c r="L321" s="29">
        <v>58231</v>
      </c>
      <c r="M321" s="80"/>
      <c r="N321" s="36">
        <f t="shared" si="55"/>
        <v>109.8698113207547</v>
      </c>
      <c r="O321" s="35">
        <f t="shared" si="49"/>
        <v>0.23478031885860598</v>
      </c>
      <c r="P321" s="90"/>
    </row>
    <row r="322" spans="1:16" ht="12.75">
      <c r="A322" s="134"/>
      <c r="B322" s="130"/>
      <c r="C322" s="33">
        <v>4120</v>
      </c>
      <c r="D322" s="4" t="s">
        <v>106</v>
      </c>
      <c r="E322" s="6">
        <v>5968.65</v>
      </c>
      <c r="F322" s="6">
        <v>7645</v>
      </c>
      <c r="G322" s="6">
        <v>7645</v>
      </c>
      <c r="H322" s="6">
        <v>4836.07</v>
      </c>
      <c r="I322" s="39">
        <f t="shared" si="54"/>
        <v>63.25794637017659</v>
      </c>
      <c r="J322" s="6">
        <v>7200</v>
      </c>
      <c r="K322" s="119">
        <f t="shared" si="48"/>
        <v>0.027034715420003082</v>
      </c>
      <c r="L322" s="29">
        <v>7843</v>
      </c>
      <c r="M322" s="80"/>
      <c r="N322" s="36">
        <f t="shared" si="55"/>
        <v>108.93055555555556</v>
      </c>
      <c r="O322" s="35">
        <f t="shared" si="49"/>
        <v>0.03162202333478811</v>
      </c>
      <c r="P322" s="90"/>
    </row>
    <row r="323" spans="1:16" ht="12.75">
      <c r="A323" s="134"/>
      <c r="B323" s="130"/>
      <c r="C323" s="33">
        <v>4170</v>
      </c>
      <c r="D323" s="4" t="s">
        <v>86</v>
      </c>
      <c r="E323" s="6">
        <v>2467</v>
      </c>
      <c r="F323" s="6">
        <v>1000</v>
      </c>
      <c r="G323" s="6">
        <v>1000</v>
      </c>
      <c r="H323" s="6">
        <v>467</v>
      </c>
      <c r="I323" s="39">
        <f t="shared" si="54"/>
        <v>46.7</v>
      </c>
      <c r="J323" s="6">
        <v>467</v>
      </c>
      <c r="K323" s="119">
        <f t="shared" si="48"/>
        <v>0.0017535016807140888</v>
      </c>
      <c r="L323" s="29">
        <v>1000</v>
      </c>
      <c r="M323" s="80"/>
      <c r="N323" s="36">
        <f t="shared" si="55"/>
        <v>214.13276231263384</v>
      </c>
      <c r="O323" s="35">
        <f t="shared" si="49"/>
        <v>0.0040318785330598125</v>
      </c>
      <c r="P323" s="90"/>
    </row>
    <row r="324" spans="1:16" ht="12.75">
      <c r="A324" s="134"/>
      <c r="B324" s="130"/>
      <c r="C324" s="33">
        <v>4210</v>
      </c>
      <c r="D324" s="4" t="s">
        <v>74</v>
      </c>
      <c r="E324" s="6">
        <v>15313.21</v>
      </c>
      <c r="F324" s="6">
        <v>24370</v>
      </c>
      <c r="G324" s="6">
        <v>18870</v>
      </c>
      <c r="H324" s="6">
        <v>2365.79</v>
      </c>
      <c r="I324" s="39">
        <f t="shared" si="54"/>
        <v>12.537307896131425</v>
      </c>
      <c r="J324" s="6">
        <v>10000</v>
      </c>
      <c r="K324" s="119">
        <f t="shared" si="48"/>
        <v>0.0375482158611154</v>
      </c>
      <c r="L324" s="29">
        <v>11250</v>
      </c>
      <c r="M324" s="80">
        <v>5</v>
      </c>
      <c r="N324" s="36">
        <f t="shared" si="55"/>
        <v>112.5</v>
      </c>
      <c r="O324" s="35">
        <f t="shared" si="49"/>
        <v>0.045358633496922894</v>
      </c>
      <c r="P324" s="90"/>
    </row>
    <row r="325" spans="1:16" ht="12.75">
      <c r="A325" s="134"/>
      <c r="B325" s="130"/>
      <c r="C325" s="33">
        <v>4240</v>
      </c>
      <c r="D325" s="4" t="s">
        <v>160</v>
      </c>
      <c r="E325" s="6">
        <v>1999.2</v>
      </c>
      <c r="F325" s="6">
        <v>2000</v>
      </c>
      <c r="G325" s="6">
        <v>2000</v>
      </c>
      <c r="H325" s="6">
        <v>1337.75</v>
      </c>
      <c r="I325" s="39">
        <f t="shared" si="54"/>
        <v>66.8875</v>
      </c>
      <c r="J325" s="6">
        <v>1338</v>
      </c>
      <c r="K325" s="119">
        <f aca="true" t="shared" si="56" ref="K325:K388">(J325/$J$769)*100</f>
        <v>0.00502395128221724</v>
      </c>
      <c r="L325" s="29">
        <v>2000</v>
      </c>
      <c r="M325" s="80"/>
      <c r="N325" s="36">
        <f t="shared" si="55"/>
        <v>149.47683109118086</v>
      </c>
      <c r="O325" s="35">
        <f aca="true" t="shared" si="57" ref="O325:O388">L325/$L$769*100</f>
        <v>0.008063757066119625</v>
      </c>
      <c r="P325" s="90"/>
    </row>
    <row r="326" spans="1:16" ht="12.75">
      <c r="A326" s="134"/>
      <c r="B326" s="130"/>
      <c r="C326" s="33">
        <v>4260</v>
      </c>
      <c r="D326" s="4" t="s">
        <v>75</v>
      </c>
      <c r="E326" s="6">
        <v>5243.01</v>
      </c>
      <c r="F326" s="6">
        <v>3000</v>
      </c>
      <c r="G326" s="6">
        <v>8500</v>
      </c>
      <c r="H326" s="6">
        <v>4532.28</v>
      </c>
      <c r="I326" s="39">
        <f t="shared" si="54"/>
        <v>53.32094117647058</v>
      </c>
      <c r="J326" s="6">
        <v>6500</v>
      </c>
      <c r="K326" s="119">
        <f t="shared" si="56"/>
        <v>0.024406340309725005</v>
      </c>
      <c r="L326" s="29">
        <v>7600</v>
      </c>
      <c r="M326" s="80"/>
      <c r="N326" s="36">
        <f t="shared" si="55"/>
        <v>116.92307692307693</v>
      </c>
      <c r="O326" s="35">
        <f t="shared" si="57"/>
        <v>0.03064227685125458</v>
      </c>
      <c r="P326" s="90"/>
    </row>
    <row r="327" spans="1:16" ht="12.75">
      <c r="A327" s="134"/>
      <c r="B327" s="130"/>
      <c r="C327" s="33">
        <v>4270</v>
      </c>
      <c r="D327" s="4" t="s">
        <v>77</v>
      </c>
      <c r="E327" s="6">
        <v>109.47</v>
      </c>
      <c r="F327" s="6">
        <v>4500</v>
      </c>
      <c r="G327" s="6">
        <v>4500</v>
      </c>
      <c r="H327" s="6">
        <v>19.67</v>
      </c>
      <c r="I327" s="39">
        <f t="shared" si="54"/>
        <v>0.4371111111111111</v>
      </c>
      <c r="J327" s="6">
        <v>200</v>
      </c>
      <c r="K327" s="119">
        <f t="shared" si="56"/>
        <v>0.0007509643172223078</v>
      </c>
      <c r="L327" s="29">
        <v>5500</v>
      </c>
      <c r="M327" s="80"/>
      <c r="N327" s="36">
        <f t="shared" si="55"/>
        <v>2750</v>
      </c>
      <c r="O327" s="35">
        <f t="shared" si="57"/>
        <v>0.02217533193182897</v>
      </c>
      <c r="P327" s="90"/>
    </row>
    <row r="328" spans="1:16" ht="12.75">
      <c r="A328" s="134"/>
      <c r="B328" s="130"/>
      <c r="C328" s="33">
        <v>4280</v>
      </c>
      <c r="D328" s="4" t="s">
        <v>91</v>
      </c>
      <c r="E328" s="6">
        <v>40</v>
      </c>
      <c r="F328" s="6">
        <v>600</v>
      </c>
      <c r="G328" s="6">
        <v>600</v>
      </c>
      <c r="H328" s="6">
        <v>581</v>
      </c>
      <c r="I328" s="39">
        <f t="shared" si="54"/>
        <v>96.83333333333334</v>
      </c>
      <c r="J328" s="6">
        <v>600</v>
      </c>
      <c r="K328" s="119">
        <f t="shared" si="56"/>
        <v>0.0022528929516669235</v>
      </c>
      <c r="L328" s="29">
        <v>600</v>
      </c>
      <c r="M328" s="80"/>
      <c r="N328" s="36">
        <f t="shared" si="55"/>
        <v>100</v>
      </c>
      <c r="O328" s="35">
        <f t="shared" si="57"/>
        <v>0.002419127119835888</v>
      </c>
      <c r="P328" s="90"/>
    </row>
    <row r="329" spans="1:16" ht="12.75">
      <c r="A329" s="134"/>
      <c r="B329" s="130"/>
      <c r="C329" s="33">
        <v>4300</v>
      </c>
      <c r="D329" s="4" t="s">
        <v>87</v>
      </c>
      <c r="E329" s="6">
        <v>8877.47</v>
      </c>
      <c r="F329" s="6">
        <v>10400</v>
      </c>
      <c r="G329" s="6">
        <v>10400</v>
      </c>
      <c r="H329" s="6">
        <v>6858.85</v>
      </c>
      <c r="I329" s="39">
        <f t="shared" si="54"/>
        <v>65.95048076923077</v>
      </c>
      <c r="J329" s="6">
        <v>11500</v>
      </c>
      <c r="K329" s="119">
        <f t="shared" si="56"/>
        <v>0.04318044824028271</v>
      </c>
      <c r="L329" s="29">
        <v>11618</v>
      </c>
      <c r="M329" s="80"/>
      <c r="N329" s="36">
        <f t="shared" si="55"/>
        <v>101.02608695652174</v>
      </c>
      <c r="O329" s="35">
        <f t="shared" si="57"/>
        <v>0.046842364797088906</v>
      </c>
      <c r="P329" s="90"/>
    </row>
    <row r="330" spans="1:16" ht="12.75">
      <c r="A330" s="134"/>
      <c r="B330" s="130"/>
      <c r="C330" s="33">
        <v>4330</v>
      </c>
      <c r="D330" s="4" t="s">
        <v>336</v>
      </c>
      <c r="E330" s="6">
        <v>3600.51</v>
      </c>
      <c r="F330" s="6">
        <v>11827</v>
      </c>
      <c r="G330" s="6">
        <v>11827</v>
      </c>
      <c r="H330" s="6">
        <v>10963.8</v>
      </c>
      <c r="I330" s="39">
        <f t="shared" si="54"/>
        <v>92.70144584425466</v>
      </c>
      <c r="J330" s="6">
        <v>15205.52</v>
      </c>
      <c r="K330" s="119">
        <f t="shared" si="56"/>
        <v>0.057094014724050735</v>
      </c>
      <c r="L330" s="29">
        <v>15203.52</v>
      </c>
      <c r="M330" s="80"/>
      <c r="N330" s="36">
        <f t="shared" si="55"/>
        <v>99.98684688192184</v>
      </c>
      <c r="O330" s="35">
        <f t="shared" si="57"/>
        <v>0.06129874591494553</v>
      </c>
      <c r="P330" s="90"/>
    </row>
    <row r="331" spans="1:16" ht="12.75">
      <c r="A331" s="134"/>
      <c r="B331" s="130"/>
      <c r="C331" s="33">
        <v>4350</v>
      </c>
      <c r="D331" s="4" t="s">
        <v>227</v>
      </c>
      <c r="E331" s="6">
        <v>468</v>
      </c>
      <c r="F331" s="6">
        <v>468</v>
      </c>
      <c r="G331" s="6">
        <v>468</v>
      </c>
      <c r="H331" s="6">
        <v>312</v>
      </c>
      <c r="I331" s="39">
        <f t="shared" si="54"/>
        <v>66.66666666666666</v>
      </c>
      <c r="J331" s="6">
        <v>468</v>
      </c>
      <c r="K331" s="119">
        <f t="shared" si="56"/>
        <v>0.0017572565023002001</v>
      </c>
      <c r="L331" s="29">
        <v>468</v>
      </c>
      <c r="M331" s="80"/>
      <c r="N331" s="36">
        <f t="shared" si="55"/>
        <v>100</v>
      </c>
      <c r="O331" s="35">
        <f t="shared" si="57"/>
        <v>0.0018869191534719924</v>
      </c>
      <c r="P331" s="90"/>
    </row>
    <row r="332" spans="1:16" ht="22.5">
      <c r="A332" s="134"/>
      <c r="B332" s="130"/>
      <c r="C332" s="33">
        <v>4370</v>
      </c>
      <c r="D332" s="4" t="s">
        <v>150</v>
      </c>
      <c r="E332" s="6">
        <v>492.2</v>
      </c>
      <c r="F332" s="6">
        <v>600</v>
      </c>
      <c r="G332" s="6">
        <v>600</v>
      </c>
      <c r="H332" s="6">
        <v>382.19</v>
      </c>
      <c r="I332" s="39">
        <f t="shared" si="54"/>
        <v>63.69833333333334</v>
      </c>
      <c r="J332" s="6">
        <v>600</v>
      </c>
      <c r="K332" s="119">
        <f t="shared" si="56"/>
        <v>0.0022528929516669235</v>
      </c>
      <c r="L332" s="29">
        <v>650</v>
      </c>
      <c r="M332" s="80"/>
      <c r="N332" s="36">
        <f t="shared" si="55"/>
        <v>108.33333333333333</v>
      </c>
      <c r="O332" s="35">
        <f t="shared" si="57"/>
        <v>0.0026207210464888786</v>
      </c>
      <c r="P332" s="90"/>
    </row>
    <row r="333" spans="1:16" ht="12.75">
      <c r="A333" s="134"/>
      <c r="B333" s="130"/>
      <c r="C333" s="33">
        <v>4410</v>
      </c>
      <c r="D333" s="4" t="s">
        <v>163</v>
      </c>
      <c r="E333" s="6"/>
      <c r="F333" s="6">
        <v>200</v>
      </c>
      <c r="G333" s="6">
        <v>200</v>
      </c>
      <c r="H333" s="6"/>
      <c r="I333" s="39">
        <f t="shared" si="54"/>
        <v>0</v>
      </c>
      <c r="J333" s="6">
        <v>200</v>
      </c>
      <c r="K333" s="119">
        <f t="shared" si="56"/>
        <v>0.0007509643172223078</v>
      </c>
      <c r="L333" s="29">
        <v>200</v>
      </c>
      <c r="M333" s="80"/>
      <c r="N333" s="36">
        <f t="shared" si="55"/>
        <v>100</v>
      </c>
      <c r="O333" s="35">
        <f t="shared" si="57"/>
        <v>0.0008063757066119625</v>
      </c>
      <c r="P333" s="90"/>
    </row>
    <row r="334" spans="1:16" ht="12.75">
      <c r="A334" s="134"/>
      <c r="B334" s="130"/>
      <c r="C334" s="33">
        <v>4430</v>
      </c>
      <c r="D334" s="4" t="s">
        <v>88</v>
      </c>
      <c r="E334" s="6">
        <v>191</v>
      </c>
      <c r="F334" s="6">
        <v>200</v>
      </c>
      <c r="G334" s="6">
        <v>200</v>
      </c>
      <c r="H334" s="6">
        <v>117</v>
      </c>
      <c r="I334" s="39">
        <f t="shared" si="54"/>
        <v>58.5</v>
      </c>
      <c r="J334" s="6">
        <v>200</v>
      </c>
      <c r="K334" s="119">
        <f t="shared" si="56"/>
        <v>0.0007509643172223078</v>
      </c>
      <c r="L334" s="29">
        <v>250</v>
      </c>
      <c r="M334" s="80"/>
      <c r="N334" s="36">
        <f t="shared" si="55"/>
        <v>125</v>
      </c>
      <c r="O334" s="35">
        <f t="shared" si="57"/>
        <v>0.0010079696332649531</v>
      </c>
      <c r="P334" s="90"/>
    </row>
    <row r="335" spans="1:16" ht="12.75">
      <c r="A335" s="134"/>
      <c r="B335" s="130"/>
      <c r="C335" s="33">
        <v>4440</v>
      </c>
      <c r="D335" s="4" t="s">
        <v>161</v>
      </c>
      <c r="E335" s="6">
        <v>16917.43</v>
      </c>
      <c r="F335" s="6">
        <v>19684</v>
      </c>
      <c r="G335" s="6">
        <v>19684</v>
      </c>
      <c r="H335" s="6">
        <v>19614.3</v>
      </c>
      <c r="I335" s="39">
        <f t="shared" si="54"/>
        <v>99.64590530380005</v>
      </c>
      <c r="J335" s="6">
        <v>19615</v>
      </c>
      <c r="K335" s="119">
        <f t="shared" si="56"/>
        <v>0.07365082541157784</v>
      </c>
      <c r="L335" s="29">
        <v>22750</v>
      </c>
      <c r="M335" s="80"/>
      <c r="N335" s="36">
        <f t="shared" si="55"/>
        <v>115.98266632679073</v>
      </c>
      <c r="O335" s="35">
        <f t="shared" si="57"/>
        <v>0.09172523662711074</v>
      </c>
      <c r="P335" s="90"/>
    </row>
    <row r="336" spans="1:16" ht="22.5">
      <c r="A336" s="134"/>
      <c r="B336" s="130"/>
      <c r="C336" s="33">
        <v>4700</v>
      </c>
      <c r="D336" s="4" t="s">
        <v>248</v>
      </c>
      <c r="E336" s="6">
        <v>100</v>
      </c>
      <c r="F336" s="6">
        <v>100</v>
      </c>
      <c r="G336" s="6">
        <v>100</v>
      </c>
      <c r="H336" s="6"/>
      <c r="I336" s="39">
        <f t="shared" si="54"/>
        <v>0</v>
      </c>
      <c r="J336" s="6">
        <v>250</v>
      </c>
      <c r="K336" s="119">
        <f t="shared" si="56"/>
        <v>0.0009387053965278848</v>
      </c>
      <c r="L336" s="29">
        <v>200</v>
      </c>
      <c r="M336" s="80"/>
      <c r="N336" s="36">
        <f t="shared" si="55"/>
        <v>80</v>
      </c>
      <c r="O336" s="35">
        <f t="shared" si="57"/>
        <v>0.0008063757066119625</v>
      </c>
      <c r="P336" s="90"/>
    </row>
    <row r="337" spans="1:16" ht="12.75">
      <c r="A337" s="134"/>
      <c r="B337" s="164">
        <v>80110</v>
      </c>
      <c r="C337" s="50"/>
      <c r="D337" s="3" t="s">
        <v>22</v>
      </c>
      <c r="E337" s="5" t="e">
        <f>E341+E342+E345+E349+E346+E352+E355+E358+E361+E362+E364+E367+E369+E370+E371+E363+E368+E373+E356+E357+E359+E360+E365+E366+#REF!+E372+#REF!+E353+#REF!+#REF!+#REF!+E343+E344+E347+E348+E350+E351+E354+E375+E374</f>
        <v>#REF!</v>
      </c>
      <c r="F337" s="5" t="e">
        <f>F341+F342+F345+F349+F346+F352+F355+F358+F361+F362+F364+F367+F369+F370+F371+F363+F368+F373+F356+F357+F359+F360+F365+F366+#REF!+F372+#REF!+F353+#REF!+#REF!+#REF!+F343+F344+F347+F348+F350+F351+F354+F375+F374</f>
        <v>#REF!</v>
      </c>
      <c r="G337" s="5" t="e">
        <f>G341+G342+G345+G349+G346+G352+G355+G358+G361+G362+G364+G367+G369+G370+G371+G363+G368+G373+G356+G357+G359+G360+G365+G366+#REF!+G372+#REF!+G353+#REF!+#REF!+#REF!+G343+G344+G347+G348+G350+G351+G354+G375+G374</f>
        <v>#REF!</v>
      </c>
      <c r="H337" s="5" t="e">
        <f>H341+H342+H345+H349+H346+H352+H355+H358+H361+H362+H364+H367+H369+H370+H371+H363+H368+H373+H356+H357+H359+H360+H365+H366+#REF!+H372+#REF!+H353+#REF!+#REF!+#REF!+H343+H344+H347+H348+H350+H351+H354+H375+H374</f>
        <v>#REF!</v>
      </c>
      <c r="I337" s="5" t="e">
        <f>I341+I342+I345+I349+I346+I352+I355+I358+I361+I362+I364+I367+I369+I370+I371+I363+I368+I373+I356+I357+I359+I360+I365+I366+#REF!+I372+#REF!+I353+#REF!+#REF!+#REF!+I343+I344+I347+I348+I350+I351+I354+I375+I374</f>
        <v>#REF!</v>
      </c>
      <c r="J337" s="5">
        <f>J341+J342+J345+J349+J346+J352+J355+J358+J361+J362+J364+J367+J369+J370+J371+J363+J368+J373+J356+J357+J359+J360+J365+J366+J372+J353+J343+J344+J347+J348+J350+J351+J354+J375+J374</f>
        <v>2003718</v>
      </c>
      <c r="K337" s="120">
        <f t="shared" si="56"/>
        <v>7.523603598880241</v>
      </c>
      <c r="L337" s="5">
        <f>L341+L342+L345+L349+L346+L352+L355+L358+L361+L362+L364+L367+L369+L370+L371+L363+L368+L373+L356+L357+L359+L360+L365+L366+L372+L353+L343+L344+L347+L348+L350+L351+L354+L375+L374</f>
        <v>1835287.4999999998</v>
      </c>
      <c r="M337" s="45" t="e">
        <f>M341+M342+M345+M349+M346+M352+M355+M358+M361+M362+M364+M367+M369+M370+M371+M363+M368+M373+M356+M357+M359+M360+M365+M366+#REF!+M372+#REF!+M353+#REF!+#REF!+#REF!+M343+M344+M347+M348+M350+M351+M354+M375+M374</f>
        <v>#REF!</v>
      </c>
      <c r="N337" s="38">
        <f>(L337/J337)*100</f>
        <v>91.5941015651903</v>
      </c>
      <c r="O337" s="67">
        <f t="shared" si="57"/>
        <v>7.399656273243011</v>
      </c>
      <c r="P337" s="90"/>
    </row>
    <row r="338" spans="1:16" ht="12.75">
      <c r="A338" s="134"/>
      <c r="B338" s="145"/>
      <c r="C338" s="50"/>
      <c r="D338" s="3" t="s">
        <v>245</v>
      </c>
      <c r="E338" s="5" t="e">
        <f>#REF!+E374+E375</f>
        <v>#REF!</v>
      </c>
      <c r="F338" s="5" t="e">
        <f>#REF!+F374+F375</f>
        <v>#REF!</v>
      </c>
      <c r="G338" s="5" t="e">
        <f>#REF!+G374+G375</f>
        <v>#REF!</v>
      </c>
      <c r="H338" s="5" t="e">
        <f>#REF!+H374+H375</f>
        <v>#REF!</v>
      </c>
      <c r="I338" s="5" t="e">
        <f>#REF!+I374+I375</f>
        <v>#REF!</v>
      </c>
      <c r="J338" s="5">
        <f>J374+J375</f>
        <v>15000</v>
      </c>
      <c r="K338" s="120">
        <f t="shared" si="56"/>
        <v>0.05632232379167309</v>
      </c>
      <c r="L338" s="5">
        <f>L374+L375</f>
        <v>0</v>
      </c>
      <c r="M338" s="45" t="e">
        <f>#REF!+M374+M375</f>
        <v>#REF!</v>
      </c>
      <c r="N338" s="36"/>
      <c r="O338" s="35">
        <f t="shared" si="57"/>
        <v>0</v>
      </c>
      <c r="P338" s="90"/>
    </row>
    <row r="339" spans="1:16" ht="12.75">
      <c r="A339" s="134"/>
      <c r="B339" s="145"/>
      <c r="C339" s="50"/>
      <c r="D339" s="3" t="s">
        <v>311</v>
      </c>
      <c r="E339" s="5" t="e">
        <f>E341+E342+E345+E346+E349+E352+E353+E355+E356+E357+E358+E359+E360+E361+E362+E363+E364+E365+E366+E367+E368+E369+#REF!+E370+E371+E372+E373+#REF!+#REF!+#REF!+E343+E344+E347+E348+E350+E351+E354</f>
        <v>#REF!</v>
      </c>
      <c r="F339" s="5" t="e">
        <f>F341+F342+F345+F346+F349+F352+F353+F355+F356+F357+F358+F359+F360+F361+F362+F363+F364+F365+F366+F367+F368+F369+#REF!+F370+F371+F372+F373+#REF!+#REF!+#REF!+F343+F344+F347+F348+F350+F351+F354</f>
        <v>#REF!</v>
      </c>
      <c r="G339" s="5" t="e">
        <f>G341+G342+G345+G346+G349+G352+G353+G355+G356+G357+G358+G359+G360+G361+G362+G363+G364+G365+G366+G367+G368+G369+#REF!+G370+G371+G372+G373+#REF!+#REF!+#REF!+G343+G344+G347+G348+G350+G351+G354</f>
        <v>#REF!</v>
      </c>
      <c r="H339" s="5" t="e">
        <f>H341+H342+H345+H346+H349+H352+H353+H355+H356+H357+H358+H359+H360+H361+H362+H363+H364+H365+H366+H367+H368+H369+#REF!+H370+H371+H372+H373+#REF!+#REF!+#REF!+H343+H344+H347+H348+H350+H351+H354</f>
        <v>#REF!</v>
      </c>
      <c r="I339" s="5" t="e">
        <f>I341+I342+I345+I346+I349+I352+I353+I355+I356+I357+I358+I359+I360+I361+I362+I363+I364+I365+I366+I367+I368+I369+#REF!+I370+I371+I372+I373+#REF!+#REF!+#REF!+I343+I344+I347+I348+I350+I351+I354</f>
        <v>#REF!</v>
      </c>
      <c r="J339" s="5">
        <f>J341+J342+J345+J346+J349+J352+J353+J355+J356+J357+J358+J359+J360+J361+J362+J363+J364+J365+J366+J367+J368+J369+J370+J371+J372+J373+J343+J344+J347+J348+J350+J351+J354</f>
        <v>1988718</v>
      </c>
      <c r="K339" s="120">
        <f t="shared" si="56"/>
        <v>7.467281275088568</v>
      </c>
      <c r="L339" s="5">
        <f>L341+L342+L345+L346+L349+L352+L353+L355+L356+L357+L358+L359+L360+L361+L362+L363+L364+L365+L366+L367+L368+L369+L370+L371+L372+L373+L343+L344+L347+L348+L350+L351+L354</f>
        <v>1835287.4999999998</v>
      </c>
      <c r="M339" s="45" t="e">
        <f>M341+M342+M345+M346+M349+M352+M353+M355+M356+M357+M358+M359+M360+M361+M362+M363+M364+M365+M366+M367+M368+M369+#REF!+M370+M371+M372+M373+#REF!+#REF!+#REF!+M343+M344+M347+M348+M350+M351+M354</f>
        <v>#REF!</v>
      </c>
      <c r="N339" s="36"/>
      <c r="O339" s="35">
        <f t="shared" si="57"/>
        <v>7.399656273243011</v>
      </c>
      <c r="P339" s="90"/>
    </row>
    <row r="340" spans="1:16" ht="12.75">
      <c r="A340" s="134"/>
      <c r="B340" s="145"/>
      <c r="C340" s="50"/>
      <c r="D340" s="3" t="s">
        <v>312</v>
      </c>
      <c r="E340" s="5" t="e">
        <f aca="true" t="shared" si="58" ref="E340:M340">SUM(E338:E339)</f>
        <v>#REF!</v>
      </c>
      <c r="F340" s="5" t="e">
        <f t="shared" si="58"/>
        <v>#REF!</v>
      </c>
      <c r="G340" s="5" t="e">
        <f t="shared" si="58"/>
        <v>#REF!</v>
      </c>
      <c r="H340" s="5" t="e">
        <f t="shared" si="58"/>
        <v>#REF!</v>
      </c>
      <c r="I340" s="5" t="e">
        <f t="shared" si="58"/>
        <v>#REF!</v>
      </c>
      <c r="J340" s="5">
        <f t="shared" si="58"/>
        <v>2003718</v>
      </c>
      <c r="K340" s="120">
        <f t="shared" si="56"/>
        <v>7.523603598880241</v>
      </c>
      <c r="L340" s="5">
        <f t="shared" si="58"/>
        <v>1835287.4999999998</v>
      </c>
      <c r="M340" s="45" t="e">
        <f t="shared" si="58"/>
        <v>#REF!</v>
      </c>
      <c r="N340" s="36"/>
      <c r="O340" s="35">
        <f t="shared" si="57"/>
        <v>7.399656273243011</v>
      </c>
      <c r="P340" s="90"/>
    </row>
    <row r="341" spans="1:16" ht="12.75">
      <c r="A341" s="134"/>
      <c r="B341" s="130"/>
      <c r="C341" s="33">
        <v>3020</v>
      </c>
      <c r="D341" s="4" t="s">
        <v>157</v>
      </c>
      <c r="E341" s="6">
        <v>103050.46</v>
      </c>
      <c r="F341" s="6">
        <v>101070</v>
      </c>
      <c r="G341" s="6">
        <v>101070</v>
      </c>
      <c r="H341" s="6">
        <v>62327.02</v>
      </c>
      <c r="I341" s="39">
        <f>(H341/G341)*100</f>
        <v>61.667181161571186</v>
      </c>
      <c r="J341" s="6">
        <v>89000</v>
      </c>
      <c r="K341" s="119">
        <f t="shared" si="56"/>
        <v>0.334179121163927</v>
      </c>
      <c r="L341" s="29">
        <v>78057</v>
      </c>
      <c r="M341" s="80"/>
      <c r="N341" s="36">
        <f>(L341/J341)*100</f>
        <v>87.70449438202247</v>
      </c>
      <c r="O341" s="35">
        <f t="shared" si="57"/>
        <v>0.31471634265504983</v>
      </c>
      <c r="P341" s="90"/>
    </row>
    <row r="342" spans="1:16" ht="12.75">
      <c r="A342" s="134"/>
      <c r="B342" s="130"/>
      <c r="C342" s="33">
        <v>4010</v>
      </c>
      <c r="D342" s="4" t="s">
        <v>95</v>
      </c>
      <c r="E342" s="6">
        <v>1309976.46</v>
      </c>
      <c r="F342" s="6">
        <v>1330985</v>
      </c>
      <c r="G342" s="6">
        <v>1326335</v>
      </c>
      <c r="H342" s="6">
        <v>880536.55</v>
      </c>
      <c r="I342" s="39">
        <f>(H342/G342)*100</f>
        <v>66.38869893352735</v>
      </c>
      <c r="J342" s="6">
        <v>1185000</v>
      </c>
      <c r="K342" s="119">
        <f t="shared" si="56"/>
        <v>4.449463579542174</v>
      </c>
      <c r="L342" s="29">
        <v>1036105</v>
      </c>
      <c r="M342" s="80"/>
      <c r="N342" s="36">
        <f>(L342/J342)*100</f>
        <v>87.43502109704642</v>
      </c>
      <c r="O342" s="35">
        <f t="shared" si="57"/>
        <v>4.177449507495937</v>
      </c>
      <c r="P342" s="90"/>
    </row>
    <row r="343" spans="1:16" ht="12.75">
      <c r="A343" s="134"/>
      <c r="B343" s="130"/>
      <c r="C343" s="33">
        <v>4017</v>
      </c>
      <c r="D343" s="4" t="s">
        <v>95</v>
      </c>
      <c r="E343" s="6"/>
      <c r="F343" s="6"/>
      <c r="G343" s="6">
        <v>20131.4</v>
      </c>
      <c r="H343" s="6"/>
      <c r="I343" s="39"/>
      <c r="J343" s="6">
        <v>20131.4</v>
      </c>
      <c r="K343" s="119">
        <f t="shared" si="56"/>
        <v>0.07558981527864585</v>
      </c>
      <c r="L343" s="29">
        <v>38066.64</v>
      </c>
      <c r="M343" s="80"/>
      <c r="N343" s="36"/>
      <c r="O343" s="35">
        <f t="shared" si="57"/>
        <v>0.153480068641716</v>
      </c>
      <c r="P343" s="90"/>
    </row>
    <row r="344" spans="1:16" ht="12.75">
      <c r="A344" s="134"/>
      <c r="B344" s="130"/>
      <c r="C344" s="33">
        <v>4019</v>
      </c>
      <c r="D344" s="4" t="s">
        <v>95</v>
      </c>
      <c r="E344" s="6"/>
      <c r="F344" s="6"/>
      <c r="G344" s="6">
        <v>3552.6</v>
      </c>
      <c r="H344" s="6"/>
      <c r="I344" s="39"/>
      <c r="J344" s="6">
        <v>3552.6</v>
      </c>
      <c r="K344" s="119">
        <f t="shared" si="56"/>
        <v>0.013339379166819855</v>
      </c>
      <c r="L344" s="29">
        <v>6717.64</v>
      </c>
      <c r="M344" s="80"/>
      <c r="N344" s="36"/>
      <c r="O344" s="35">
        <f t="shared" si="57"/>
        <v>0.027084708508823926</v>
      </c>
      <c r="P344" s="90"/>
    </row>
    <row r="345" spans="1:16" ht="12.75">
      <c r="A345" s="134"/>
      <c r="B345" s="130"/>
      <c r="C345" s="33">
        <v>4040</v>
      </c>
      <c r="D345" s="4" t="s">
        <v>158</v>
      </c>
      <c r="E345" s="6">
        <v>108860.94</v>
      </c>
      <c r="F345" s="6">
        <v>106670</v>
      </c>
      <c r="G345" s="6">
        <v>102554</v>
      </c>
      <c r="H345" s="6">
        <v>102551.56</v>
      </c>
      <c r="I345" s="39">
        <f>(H345/G345)*100</f>
        <v>99.99762076564541</v>
      </c>
      <c r="J345" s="6">
        <v>102554</v>
      </c>
      <c r="K345" s="119">
        <f t="shared" si="56"/>
        <v>0.3850719729420828</v>
      </c>
      <c r="L345" s="29">
        <v>97710</v>
      </c>
      <c r="M345" s="80"/>
      <c r="N345" s="36">
        <f>(L345/J345)*100</f>
        <v>95.27663474852272</v>
      </c>
      <c r="O345" s="35">
        <f t="shared" si="57"/>
        <v>0.3939548514652743</v>
      </c>
      <c r="P345" s="90"/>
    </row>
    <row r="346" spans="1:16" ht="12.75">
      <c r="A346" s="134"/>
      <c r="B346" s="130"/>
      <c r="C346" s="33">
        <v>4110</v>
      </c>
      <c r="D346" s="4" t="s">
        <v>84</v>
      </c>
      <c r="E346" s="6">
        <v>225573.44</v>
      </c>
      <c r="F346" s="6">
        <v>225254</v>
      </c>
      <c r="G346" s="6">
        <v>251977</v>
      </c>
      <c r="H346" s="6">
        <v>164836.49</v>
      </c>
      <c r="I346" s="39">
        <f>(H346/G346)*100</f>
        <v>65.41727617996881</v>
      </c>
      <c r="J346" s="6">
        <v>225000</v>
      </c>
      <c r="K346" s="119">
        <f t="shared" si="56"/>
        <v>0.8448348568750963</v>
      </c>
      <c r="L346" s="29">
        <v>210075</v>
      </c>
      <c r="M346" s="80"/>
      <c r="N346" s="36">
        <f>(L346/J346)*100</f>
        <v>93.36666666666666</v>
      </c>
      <c r="O346" s="35">
        <f t="shared" si="57"/>
        <v>0.8469968828325403</v>
      </c>
      <c r="P346" s="90"/>
    </row>
    <row r="347" spans="1:16" ht="12.75">
      <c r="A347" s="134"/>
      <c r="B347" s="130"/>
      <c r="C347" s="33">
        <v>4117</v>
      </c>
      <c r="D347" s="4" t="s">
        <v>84</v>
      </c>
      <c r="E347" s="6"/>
      <c r="F347" s="6"/>
      <c r="G347" s="6">
        <v>3498.6</v>
      </c>
      <c r="H347" s="6"/>
      <c r="I347" s="39"/>
      <c r="J347" s="6">
        <v>3498.6</v>
      </c>
      <c r="K347" s="119">
        <f t="shared" si="56"/>
        <v>0.013136618801169831</v>
      </c>
      <c r="L347" s="29">
        <v>6615.98</v>
      </c>
      <c r="M347" s="80"/>
      <c r="N347" s="36"/>
      <c r="O347" s="35">
        <f t="shared" si="57"/>
        <v>0.026674827737153062</v>
      </c>
      <c r="P347" s="90"/>
    </row>
    <row r="348" spans="1:16" ht="12.75">
      <c r="A348" s="134"/>
      <c r="B348" s="130"/>
      <c r="C348" s="33">
        <v>4119</v>
      </c>
      <c r="D348" s="4" t="s">
        <v>84</v>
      </c>
      <c r="E348" s="6"/>
      <c r="F348" s="6"/>
      <c r="G348" s="6">
        <v>617.4</v>
      </c>
      <c r="H348" s="6"/>
      <c r="I348" s="39"/>
      <c r="J348" s="6">
        <v>617.4</v>
      </c>
      <c r="K348" s="119">
        <f t="shared" si="56"/>
        <v>0.0023182268472652645</v>
      </c>
      <c r="L348" s="29">
        <v>1167.53</v>
      </c>
      <c r="M348" s="80"/>
      <c r="N348" s="36"/>
      <c r="O348" s="35">
        <f t="shared" si="57"/>
        <v>0.004707339143703323</v>
      </c>
      <c r="P348" s="90"/>
    </row>
    <row r="349" spans="1:16" ht="12.75">
      <c r="A349" s="134"/>
      <c r="B349" s="130"/>
      <c r="C349" s="33">
        <v>4120</v>
      </c>
      <c r="D349" s="4" t="s">
        <v>106</v>
      </c>
      <c r="E349" s="6">
        <v>30463.52</v>
      </c>
      <c r="F349" s="6">
        <v>36332</v>
      </c>
      <c r="G349" s="6">
        <v>36332</v>
      </c>
      <c r="H349" s="6">
        <v>20267.14</v>
      </c>
      <c r="I349" s="39">
        <f>(H349/G349)*100</f>
        <v>55.78316635472861</v>
      </c>
      <c r="J349" s="6">
        <v>27200</v>
      </c>
      <c r="K349" s="119">
        <f t="shared" si="56"/>
        <v>0.10213114714223387</v>
      </c>
      <c r="L349" s="29">
        <v>29946</v>
      </c>
      <c r="M349" s="80"/>
      <c r="N349" s="36">
        <f>(L349/J349)*100</f>
        <v>110.09558823529413</v>
      </c>
      <c r="O349" s="35">
        <f t="shared" si="57"/>
        <v>0.12073863455100917</v>
      </c>
      <c r="P349" s="90"/>
    </row>
    <row r="350" spans="1:16" ht="12.75">
      <c r="A350" s="134"/>
      <c r="B350" s="130"/>
      <c r="C350" s="33">
        <v>4127</v>
      </c>
      <c r="D350" s="4" t="s">
        <v>106</v>
      </c>
      <c r="E350" s="6"/>
      <c r="F350" s="6"/>
      <c r="G350" s="6">
        <v>493</v>
      </c>
      <c r="H350" s="6"/>
      <c r="I350" s="39"/>
      <c r="J350" s="6">
        <v>493</v>
      </c>
      <c r="K350" s="119">
        <f t="shared" si="56"/>
        <v>0.0018511270419529888</v>
      </c>
      <c r="L350" s="29">
        <v>932.63</v>
      </c>
      <c r="M350" s="80"/>
      <c r="N350" s="36"/>
      <c r="O350" s="35">
        <f t="shared" si="57"/>
        <v>0.003760250876287573</v>
      </c>
      <c r="P350" s="90"/>
    </row>
    <row r="351" spans="1:16" ht="12.75">
      <c r="A351" s="134"/>
      <c r="B351" s="130"/>
      <c r="C351" s="33">
        <v>4129</v>
      </c>
      <c r="D351" s="4" t="s">
        <v>106</v>
      </c>
      <c r="E351" s="6"/>
      <c r="F351" s="6"/>
      <c r="G351" s="6">
        <v>87</v>
      </c>
      <c r="H351" s="6"/>
      <c r="I351" s="39"/>
      <c r="J351" s="6">
        <v>87</v>
      </c>
      <c r="K351" s="119">
        <f t="shared" si="56"/>
        <v>0.0003266694779917039</v>
      </c>
      <c r="L351" s="29">
        <v>164.58</v>
      </c>
      <c r="M351" s="80"/>
      <c r="N351" s="36"/>
      <c r="O351" s="35">
        <f t="shared" si="57"/>
        <v>0.0006635665689709841</v>
      </c>
      <c r="P351" s="90"/>
    </row>
    <row r="352" spans="1:16" ht="12.75">
      <c r="A352" s="134"/>
      <c r="B352" s="130"/>
      <c r="C352" s="33">
        <v>4170</v>
      </c>
      <c r="D352" s="4" t="s">
        <v>86</v>
      </c>
      <c r="E352" s="6">
        <v>25006.55</v>
      </c>
      <c r="F352" s="6">
        <v>5000</v>
      </c>
      <c r="G352" s="6">
        <v>15190</v>
      </c>
      <c r="H352" s="6">
        <v>13350</v>
      </c>
      <c r="I352" s="39">
        <f>(H352/G352)*100</f>
        <v>87.88676761026991</v>
      </c>
      <c r="J352" s="6">
        <v>15190</v>
      </c>
      <c r="K352" s="119">
        <f t="shared" si="56"/>
        <v>0.05703573989303428</v>
      </c>
      <c r="L352" s="29">
        <v>5000</v>
      </c>
      <c r="M352" s="80"/>
      <c r="N352" s="36">
        <f>(L352/J352)*100</f>
        <v>32.91639236339697</v>
      </c>
      <c r="O352" s="35">
        <f t="shared" si="57"/>
        <v>0.020159392665299068</v>
      </c>
      <c r="P352" s="90"/>
    </row>
    <row r="353" spans="1:16" ht="12.75">
      <c r="A353" s="134"/>
      <c r="B353" s="130"/>
      <c r="C353" s="33">
        <v>4177</v>
      </c>
      <c r="D353" s="4" t="s">
        <v>86</v>
      </c>
      <c r="E353" s="6">
        <v>958</v>
      </c>
      <c r="F353" s="6"/>
      <c r="G353" s="6">
        <v>1700</v>
      </c>
      <c r="H353" s="6"/>
      <c r="I353" s="39">
        <f>(H353/G353)*100</f>
        <v>0</v>
      </c>
      <c r="J353" s="6">
        <v>1700</v>
      </c>
      <c r="K353" s="119">
        <f t="shared" si="56"/>
        <v>0.006383196696389617</v>
      </c>
      <c r="L353" s="29">
        <v>9180</v>
      </c>
      <c r="M353" s="80"/>
      <c r="N353" s="36">
        <f>(L353/J353)*100</f>
        <v>540</v>
      </c>
      <c r="O353" s="35">
        <f t="shared" si="57"/>
        <v>0.03701264493348908</v>
      </c>
      <c r="P353" s="90"/>
    </row>
    <row r="354" spans="1:16" ht="12.75">
      <c r="A354" s="134"/>
      <c r="B354" s="130"/>
      <c r="C354" s="33">
        <v>4179</v>
      </c>
      <c r="D354" s="4" t="s">
        <v>86</v>
      </c>
      <c r="E354" s="6"/>
      <c r="F354" s="6"/>
      <c r="G354" s="6">
        <v>3958</v>
      </c>
      <c r="H354" s="6"/>
      <c r="I354" s="39"/>
      <c r="J354" s="6">
        <v>300</v>
      </c>
      <c r="K354" s="119">
        <f t="shared" si="56"/>
        <v>0.0011264464758334617</v>
      </c>
      <c r="L354" s="29">
        <v>1620</v>
      </c>
      <c r="M354" s="80"/>
      <c r="N354" s="36"/>
      <c r="O354" s="35">
        <f t="shared" si="57"/>
        <v>0.006531643223556897</v>
      </c>
      <c r="P354" s="90"/>
    </row>
    <row r="355" spans="1:16" ht="12.75">
      <c r="A355" s="134"/>
      <c r="B355" s="130"/>
      <c r="C355" s="33">
        <v>4210</v>
      </c>
      <c r="D355" s="4" t="s">
        <v>74</v>
      </c>
      <c r="E355" s="6">
        <v>79235.42</v>
      </c>
      <c r="F355" s="6">
        <v>86900</v>
      </c>
      <c r="G355" s="6">
        <v>86000</v>
      </c>
      <c r="H355" s="6">
        <v>58570.06</v>
      </c>
      <c r="I355" s="39">
        <f>(H355/G355)*100</f>
        <v>68.10472093023256</v>
      </c>
      <c r="J355" s="6">
        <v>103200</v>
      </c>
      <c r="K355" s="119">
        <f t="shared" si="56"/>
        <v>0.38749758768671083</v>
      </c>
      <c r="L355" s="29">
        <v>117600</v>
      </c>
      <c r="M355" s="80">
        <v>50</v>
      </c>
      <c r="N355" s="36">
        <f aca="true" t="shared" si="59" ref="N355:N365">(L355/J355)*100</f>
        <v>113.95348837209302</v>
      </c>
      <c r="O355" s="35">
        <f t="shared" si="57"/>
        <v>0.474148915487834</v>
      </c>
      <c r="P355" s="90"/>
    </row>
    <row r="356" spans="1:16" ht="12.75">
      <c r="A356" s="134"/>
      <c r="B356" s="130"/>
      <c r="C356" s="33">
        <v>4217</v>
      </c>
      <c r="D356" s="4" t="s">
        <v>74</v>
      </c>
      <c r="E356" s="6"/>
      <c r="F356" s="6"/>
      <c r="G356" s="6">
        <v>3180.7</v>
      </c>
      <c r="H356" s="6"/>
      <c r="I356" s="39">
        <f>(H356/G356)*100</f>
        <v>0</v>
      </c>
      <c r="J356" s="6">
        <v>3180.7</v>
      </c>
      <c r="K356" s="119">
        <f t="shared" si="56"/>
        <v>0.011942961018944973</v>
      </c>
      <c r="L356" s="29">
        <v>3685.18</v>
      </c>
      <c r="M356" s="80"/>
      <c r="N356" s="36">
        <f t="shared" si="59"/>
        <v>115.860659603232</v>
      </c>
      <c r="O356" s="35">
        <f t="shared" si="57"/>
        <v>0.014858198132461361</v>
      </c>
      <c r="P356" s="90"/>
    </row>
    <row r="357" spans="1:16" ht="12.75">
      <c r="A357" s="134"/>
      <c r="B357" s="130"/>
      <c r="C357" s="33">
        <v>4219</v>
      </c>
      <c r="D357" s="4" t="s">
        <v>74</v>
      </c>
      <c r="E357" s="6"/>
      <c r="F357" s="6"/>
      <c r="G357" s="6">
        <v>561.3</v>
      </c>
      <c r="H357" s="6"/>
      <c r="I357" s="39">
        <f aca="true" t="shared" si="60" ref="I357:I365">(H357/G357)*100</f>
        <v>0</v>
      </c>
      <c r="J357" s="6">
        <v>561.3</v>
      </c>
      <c r="K357" s="119">
        <f t="shared" si="56"/>
        <v>0.002107581356284407</v>
      </c>
      <c r="L357" s="29">
        <v>650.32</v>
      </c>
      <c r="M357" s="80"/>
      <c r="N357" s="36">
        <f t="shared" si="59"/>
        <v>115.8596116158917</v>
      </c>
      <c r="O357" s="35">
        <f t="shared" si="57"/>
        <v>0.0026220112476194575</v>
      </c>
      <c r="P357" s="90"/>
    </row>
    <row r="358" spans="1:16" ht="12.75">
      <c r="A358" s="134"/>
      <c r="B358" s="130"/>
      <c r="C358" s="33">
        <v>4240</v>
      </c>
      <c r="D358" s="4" t="s">
        <v>160</v>
      </c>
      <c r="E358" s="6">
        <v>18160.02</v>
      </c>
      <c r="F358" s="6">
        <v>4000</v>
      </c>
      <c r="G358" s="6">
        <v>1500</v>
      </c>
      <c r="H358" s="6">
        <v>251.53</v>
      </c>
      <c r="I358" s="39">
        <f t="shared" si="60"/>
        <v>16.768666666666668</v>
      </c>
      <c r="J358" s="6">
        <v>1500</v>
      </c>
      <c r="K358" s="119">
        <f t="shared" si="56"/>
        <v>0.005632232379167309</v>
      </c>
      <c r="L358" s="29">
        <v>4000</v>
      </c>
      <c r="M358" s="80"/>
      <c r="N358" s="36">
        <f t="shared" si="59"/>
        <v>266.66666666666663</v>
      </c>
      <c r="O358" s="35">
        <f t="shared" si="57"/>
        <v>0.01612751413223925</v>
      </c>
      <c r="P358" s="90"/>
    </row>
    <row r="359" spans="1:16" ht="12.75">
      <c r="A359" s="134"/>
      <c r="B359" s="130"/>
      <c r="C359" s="33">
        <v>4247</v>
      </c>
      <c r="D359" s="4" t="s">
        <v>160</v>
      </c>
      <c r="E359" s="6"/>
      <c r="F359" s="6"/>
      <c r="G359" s="6">
        <v>13343.3</v>
      </c>
      <c r="H359" s="6"/>
      <c r="I359" s="39">
        <f t="shared" si="60"/>
        <v>0</v>
      </c>
      <c r="J359" s="6">
        <v>13343.3</v>
      </c>
      <c r="K359" s="119">
        <f t="shared" si="56"/>
        <v>0.0501017108699621</v>
      </c>
      <c r="L359" s="29"/>
      <c r="M359" s="80"/>
      <c r="N359" s="36">
        <f t="shared" si="59"/>
        <v>0</v>
      </c>
      <c r="O359" s="35">
        <f t="shared" si="57"/>
        <v>0</v>
      </c>
      <c r="P359" s="90"/>
    </row>
    <row r="360" spans="1:16" ht="14.25" customHeight="1">
      <c r="A360" s="134"/>
      <c r="B360" s="130"/>
      <c r="C360" s="33">
        <v>4249</v>
      </c>
      <c r="D360" s="4" t="s">
        <v>160</v>
      </c>
      <c r="E360" s="6"/>
      <c r="F360" s="6"/>
      <c r="G360" s="6">
        <v>2354.7</v>
      </c>
      <c r="H360" s="6"/>
      <c r="I360" s="39">
        <f t="shared" si="60"/>
        <v>0</v>
      </c>
      <c r="J360" s="6">
        <v>2354.7</v>
      </c>
      <c r="K360" s="119">
        <f t="shared" si="56"/>
        <v>0.00884147838881684</v>
      </c>
      <c r="L360" s="29"/>
      <c r="M360" s="80"/>
      <c r="N360" s="36">
        <f t="shared" si="59"/>
        <v>0</v>
      </c>
      <c r="O360" s="35">
        <f t="shared" si="57"/>
        <v>0</v>
      </c>
      <c r="P360" s="90"/>
    </row>
    <row r="361" spans="1:16" ht="12.75">
      <c r="A361" s="134"/>
      <c r="B361" s="130"/>
      <c r="C361" s="33">
        <v>4260</v>
      </c>
      <c r="D361" s="4" t="s">
        <v>75</v>
      </c>
      <c r="E361" s="6">
        <v>15617.65</v>
      </c>
      <c r="F361" s="6">
        <v>16500</v>
      </c>
      <c r="G361" s="6">
        <v>18000</v>
      </c>
      <c r="H361" s="6">
        <v>17292.1</v>
      </c>
      <c r="I361" s="39">
        <f t="shared" si="60"/>
        <v>96.06722222222221</v>
      </c>
      <c r="J361" s="6">
        <v>21500</v>
      </c>
      <c r="K361" s="119">
        <f t="shared" si="56"/>
        <v>0.0807286641013981</v>
      </c>
      <c r="L361" s="29">
        <v>23000</v>
      </c>
      <c r="M361" s="80"/>
      <c r="N361" s="36">
        <f t="shared" si="59"/>
        <v>106.9767441860465</v>
      </c>
      <c r="O361" s="35">
        <f t="shared" si="57"/>
        <v>0.0927332062603757</v>
      </c>
      <c r="P361" s="90"/>
    </row>
    <row r="362" spans="1:16" ht="12.75">
      <c r="A362" s="134"/>
      <c r="B362" s="130"/>
      <c r="C362" s="33">
        <v>4270</v>
      </c>
      <c r="D362" s="4" t="s">
        <v>77</v>
      </c>
      <c r="E362" s="6">
        <v>1649.97</v>
      </c>
      <c r="F362" s="6">
        <v>7600</v>
      </c>
      <c r="G362" s="6">
        <v>7600</v>
      </c>
      <c r="H362" s="6">
        <v>6475.97</v>
      </c>
      <c r="I362" s="39">
        <f t="shared" si="60"/>
        <v>85.21013157894737</v>
      </c>
      <c r="J362" s="6">
        <v>8100</v>
      </c>
      <c r="K362" s="119">
        <f t="shared" si="56"/>
        <v>0.03041405484750347</v>
      </c>
      <c r="L362" s="29">
        <v>21100</v>
      </c>
      <c r="M362" s="80"/>
      <c r="N362" s="36">
        <f t="shared" si="59"/>
        <v>260.4938271604938</v>
      </c>
      <c r="O362" s="35">
        <f t="shared" si="57"/>
        <v>0.08507263704756206</v>
      </c>
      <c r="P362" s="90"/>
    </row>
    <row r="363" spans="1:16" ht="12.75">
      <c r="A363" s="134"/>
      <c r="B363" s="130"/>
      <c r="C363" s="33">
        <v>4280</v>
      </c>
      <c r="D363" s="4" t="s">
        <v>91</v>
      </c>
      <c r="E363" s="6">
        <v>572.5</v>
      </c>
      <c r="F363" s="6">
        <v>1300</v>
      </c>
      <c r="G363" s="6">
        <v>1800</v>
      </c>
      <c r="H363" s="6">
        <v>1607</v>
      </c>
      <c r="I363" s="39">
        <f t="shared" si="60"/>
        <v>89.27777777777777</v>
      </c>
      <c r="J363" s="6">
        <v>1800</v>
      </c>
      <c r="K363" s="119">
        <f t="shared" si="56"/>
        <v>0.0067586788550007704</v>
      </c>
      <c r="L363" s="29">
        <v>1000</v>
      </c>
      <c r="M363" s="80"/>
      <c r="N363" s="36">
        <f t="shared" si="59"/>
        <v>55.55555555555556</v>
      </c>
      <c r="O363" s="35">
        <f t="shared" si="57"/>
        <v>0.0040318785330598125</v>
      </c>
      <c r="P363" s="90"/>
    </row>
    <row r="364" spans="1:16" ht="12.75">
      <c r="A364" s="134"/>
      <c r="B364" s="130"/>
      <c r="C364" s="33">
        <v>4300</v>
      </c>
      <c r="D364" s="4" t="s">
        <v>87</v>
      </c>
      <c r="E364" s="6">
        <v>34061.4</v>
      </c>
      <c r="F364" s="6">
        <v>37650</v>
      </c>
      <c r="G364" s="6">
        <v>30709</v>
      </c>
      <c r="H364" s="6">
        <v>23928.29</v>
      </c>
      <c r="I364" s="39">
        <f t="shared" si="60"/>
        <v>77.91946986225537</v>
      </c>
      <c r="J364" s="6">
        <v>36000</v>
      </c>
      <c r="K364" s="119">
        <f t="shared" si="56"/>
        <v>0.1351735771000154</v>
      </c>
      <c r="L364" s="29">
        <v>36380</v>
      </c>
      <c r="M364" s="80"/>
      <c r="N364" s="36">
        <f t="shared" si="59"/>
        <v>101.05555555555557</v>
      </c>
      <c r="O364" s="35">
        <f t="shared" si="57"/>
        <v>0.146679741032716</v>
      </c>
      <c r="P364" s="90"/>
    </row>
    <row r="365" spans="1:16" ht="12.75">
      <c r="A365" s="134"/>
      <c r="B365" s="130"/>
      <c r="C365" s="33">
        <v>4307</v>
      </c>
      <c r="D365" s="4" t="s">
        <v>87</v>
      </c>
      <c r="E365" s="6"/>
      <c r="F365" s="6"/>
      <c r="G365" s="6">
        <v>31536.7</v>
      </c>
      <c r="H365" s="6"/>
      <c r="I365" s="39">
        <f t="shared" si="60"/>
        <v>0</v>
      </c>
      <c r="J365" s="6">
        <v>31536.7</v>
      </c>
      <c r="K365" s="119">
        <f t="shared" si="56"/>
        <v>0.11841468191472378</v>
      </c>
      <c r="L365" s="29">
        <v>25416.7</v>
      </c>
      <c r="M365" s="80"/>
      <c r="N365" s="36">
        <f t="shared" si="59"/>
        <v>80.59403805724759</v>
      </c>
      <c r="O365" s="35">
        <f t="shared" si="57"/>
        <v>0.10247704711122137</v>
      </c>
      <c r="P365" s="90"/>
    </row>
    <row r="366" spans="1:16" ht="12.75">
      <c r="A366" s="134"/>
      <c r="B366" s="130"/>
      <c r="C366" s="33">
        <v>4309</v>
      </c>
      <c r="D366" s="4" t="s">
        <v>87</v>
      </c>
      <c r="E366" s="6"/>
      <c r="F366" s="6"/>
      <c r="G366" s="6">
        <v>5565.3</v>
      </c>
      <c r="H366" s="6"/>
      <c r="I366" s="39">
        <f aca="true" t="shared" si="61" ref="I366:I375">(H366/G366)*100</f>
        <v>0</v>
      </c>
      <c r="J366" s="6">
        <v>5565.3</v>
      </c>
      <c r="K366" s="119">
        <f t="shared" si="56"/>
        <v>0.02089670857318655</v>
      </c>
      <c r="L366" s="29">
        <v>4485.3</v>
      </c>
      <c r="M366" s="80"/>
      <c r="N366" s="36">
        <f aca="true" t="shared" si="62" ref="N366:N373">(L366/J366)*100</f>
        <v>80.59403805724759</v>
      </c>
      <c r="O366" s="35">
        <f t="shared" si="57"/>
        <v>0.01808418478433318</v>
      </c>
      <c r="P366" s="90"/>
    </row>
    <row r="367" spans="1:16" ht="12.75">
      <c r="A367" s="134"/>
      <c r="B367" s="130"/>
      <c r="C367" s="33">
        <v>4350</v>
      </c>
      <c r="D367" s="4" t="s">
        <v>133</v>
      </c>
      <c r="E367" s="6">
        <v>1781.64</v>
      </c>
      <c r="F367" s="6">
        <v>2000</v>
      </c>
      <c r="G367" s="6">
        <v>2000</v>
      </c>
      <c r="H367" s="6">
        <v>968.82</v>
      </c>
      <c r="I367" s="39">
        <f t="shared" si="61"/>
        <v>48.441</v>
      </c>
      <c r="J367" s="6">
        <v>1400</v>
      </c>
      <c r="K367" s="119">
        <f t="shared" si="56"/>
        <v>0.005256750220556155</v>
      </c>
      <c r="L367" s="29">
        <v>1400</v>
      </c>
      <c r="M367" s="80"/>
      <c r="N367" s="36">
        <f t="shared" si="62"/>
        <v>100</v>
      </c>
      <c r="O367" s="35">
        <f t="shared" si="57"/>
        <v>0.005644629946283738</v>
      </c>
      <c r="P367" s="90"/>
    </row>
    <row r="368" spans="1:16" ht="22.5">
      <c r="A368" s="134"/>
      <c r="B368" s="130"/>
      <c r="C368" s="33">
        <v>4370</v>
      </c>
      <c r="D368" s="4" t="s">
        <v>150</v>
      </c>
      <c r="E368" s="6">
        <v>2660.89</v>
      </c>
      <c r="F368" s="6">
        <v>3000</v>
      </c>
      <c r="G368" s="6">
        <v>4500</v>
      </c>
      <c r="H368" s="6">
        <v>3097.17</v>
      </c>
      <c r="I368" s="39">
        <f t="shared" si="61"/>
        <v>68.826</v>
      </c>
      <c r="J368" s="6">
        <v>4700</v>
      </c>
      <c r="K368" s="119">
        <f t="shared" si="56"/>
        <v>0.017647661454724232</v>
      </c>
      <c r="L368" s="29">
        <v>4000</v>
      </c>
      <c r="M368" s="80"/>
      <c r="N368" s="36">
        <f t="shared" si="62"/>
        <v>85.1063829787234</v>
      </c>
      <c r="O368" s="35">
        <f t="shared" si="57"/>
        <v>0.01612751413223925</v>
      </c>
      <c r="P368" s="90"/>
    </row>
    <row r="369" spans="1:16" ht="12.75">
      <c r="A369" s="134"/>
      <c r="B369" s="130"/>
      <c r="C369" s="33">
        <v>4410</v>
      </c>
      <c r="D369" s="4" t="s">
        <v>125</v>
      </c>
      <c r="E369" s="6">
        <v>2052.83</v>
      </c>
      <c r="F369" s="6">
        <v>2300</v>
      </c>
      <c r="G369" s="6">
        <v>3300</v>
      </c>
      <c r="H369" s="6">
        <v>2848.59</v>
      </c>
      <c r="I369" s="39">
        <f t="shared" si="61"/>
        <v>86.3209090909091</v>
      </c>
      <c r="J369" s="6">
        <v>3500</v>
      </c>
      <c r="K369" s="119">
        <f t="shared" si="56"/>
        <v>0.013141875551390386</v>
      </c>
      <c r="L369" s="29">
        <v>3000</v>
      </c>
      <c r="M369" s="80"/>
      <c r="N369" s="36">
        <f t="shared" si="62"/>
        <v>85.71428571428571</v>
      </c>
      <c r="O369" s="35">
        <f t="shared" si="57"/>
        <v>0.012095635599179439</v>
      </c>
      <c r="P369" s="90"/>
    </row>
    <row r="370" spans="1:16" ht="12.75">
      <c r="A370" s="134"/>
      <c r="B370" s="130"/>
      <c r="C370" s="33">
        <v>4430</v>
      </c>
      <c r="D370" s="4" t="s">
        <v>88</v>
      </c>
      <c r="E370" s="6">
        <v>1017</v>
      </c>
      <c r="F370" s="6">
        <v>1200</v>
      </c>
      <c r="G370" s="6">
        <v>1200</v>
      </c>
      <c r="H370" s="6">
        <v>1036</v>
      </c>
      <c r="I370" s="39">
        <f t="shared" si="61"/>
        <v>86.33333333333333</v>
      </c>
      <c r="J370" s="6">
        <v>1500</v>
      </c>
      <c r="K370" s="119">
        <f t="shared" si="56"/>
        <v>0.005632232379167309</v>
      </c>
      <c r="L370" s="29">
        <v>1600</v>
      </c>
      <c r="M370" s="80"/>
      <c r="N370" s="36">
        <f t="shared" si="62"/>
        <v>106.66666666666667</v>
      </c>
      <c r="O370" s="35">
        <f t="shared" si="57"/>
        <v>0.0064510056528957</v>
      </c>
      <c r="P370" s="90"/>
    </row>
    <row r="371" spans="1:16" ht="12.75">
      <c r="A371" s="134"/>
      <c r="B371" s="130"/>
      <c r="C371" s="33">
        <v>4440</v>
      </c>
      <c r="D371" s="4" t="s">
        <v>161</v>
      </c>
      <c r="E371" s="6">
        <v>80598.93</v>
      </c>
      <c r="F371" s="6">
        <v>78476</v>
      </c>
      <c r="G371" s="6">
        <v>78476</v>
      </c>
      <c r="H371" s="6">
        <v>70410.06</v>
      </c>
      <c r="I371" s="39">
        <f t="shared" si="61"/>
        <v>89.72177481013303</v>
      </c>
      <c r="J371" s="6">
        <v>70411</v>
      </c>
      <c r="K371" s="119">
        <f t="shared" si="56"/>
        <v>0.26438074269969963</v>
      </c>
      <c r="L371" s="29">
        <v>63112</v>
      </c>
      <c r="M371" s="80"/>
      <c r="N371" s="36">
        <f t="shared" si="62"/>
        <v>89.63372200366419</v>
      </c>
      <c r="O371" s="35">
        <f t="shared" si="57"/>
        <v>0.2544599179784709</v>
      </c>
      <c r="P371" s="90"/>
    </row>
    <row r="372" spans="1:16" ht="12.75">
      <c r="A372" s="134"/>
      <c r="B372" s="130"/>
      <c r="C372" s="33">
        <v>4520</v>
      </c>
      <c r="D372" s="4" t="s">
        <v>303</v>
      </c>
      <c r="E372" s="6">
        <v>2132</v>
      </c>
      <c r="F372" s="6">
        <v>2300</v>
      </c>
      <c r="G372" s="6">
        <v>2741</v>
      </c>
      <c r="H372" s="6">
        <v>2741</v>
      </c>
      <c r="I372" s="39">
        <f t="shared" si="61"/>
        <v>100</v>
      </c>
      <c r="J372" s="6">
        <v>2741</v>
      </c>
      <c r="K372" s="119">
        <f t="shared" si="56"/>
        <v>0.01029196596753173</v>
      </c>
      <c r="L372" s="29">
        <v>3000</v>
      </c>
      <c r="M372" s="80"/>
      <c r="N372" s="36">
        <f t="shared" si="62"/>
        <v>109.44910616563297</v>
      </c>
      <c r="O372" s="35">
        <f t="shared" si="57"/>
        <v>0.012095635599179439</v>
      </c>
      <c r="P372" s="90"/>
    </row>
    <row r="373" spans="1:16" ht="22.5">
      <c r="A373" s="134"/>
      <c r="B373" s="130"/>
      <c r="C373" s="33">
        <v>4700</v>
      </c>
      <c r="D373" s="4" t="s">
        <v>248</v>
      </c>
      <c r="E373" s="6"/>
      <c r="F373" s="6">
        <v>500</v>
      </c>
      <c r="G373" s="6">
        <v>500</v>
      </c>
      <c r="H373" s="6">
        <v>270</v>
      </c>
      <c r="I373" s="39">
        <f t="shared" si="61"/>
        <v>54</v>
      </c>
      <c r="J373" s="6">
        <v>1500</v>
      </c>
      <c r="K373" s="119">
        <f t="shared" si="56"/>
        <v>0.005632232379167309</v>
      </c>
      <c r="L373" s="29">
        <v>500</v>
      </c>
      <c r="M373" s="80"/>
      <c r="N373" s="36">
        <f t="shared" si="62"/>
        <v>33.33333333333333</v>
      </c>
      <c r="O373" s="35">
        <f t="shared" si="57"/>
        <v>0.0020159392665299062</v>
      </c>
      <c r="P373" s="90"/>
    </row>
    <row r="374" spans="1:16" ht="21">
      <c r="A374" s="134"/>
      <c r="B374" s="96"/>
      <c r="C374" s="56">
        <v>6067</v>
      </c>
      <c r="D374" s="24" t="s">
        <v>141</v>
      </c>
      <c r="E374" s="25"/>
      <c r="F374" s="25"/>
      <c r="G374" s="25">
        <v>12750</v>
      </c>
      <c r="H374" s="25"/>
      <c r="I374" s="39">
        <f t="shared" si="61"/>
        <v>0</v>
      </c>
      <c r="J374" s="25">
        <v>12750</v>
      </c>
      <c r="K374" s="119">
        <f t="shared" si="56"/>
        <v>0.047873975222922124</v>
      </c>
      <c r="L374" s="40"/>
      <c r="M374" s="110"/>
      <c r="N374" s="36"/>
      <c r="O374" s="35">
        <f t="shared" si="57"/>
        <v>0</v>
      </c>
      <c r="P374" s="90"/>
    </row>
    <row r="375" spans="1:16" ht="21">
      <c r="A375" s="134"/>
      <c r="B375" s="96"/>
      <c r="C375" s="56">
        <v>6069</v>
      </c>
      <c r="D375" s="24" t="s">
        <v>141</v>
      </c>
      <c r="E375" s="25"/>
      <c r="F375" s="25"/>
      <c r="G375" s="25">
        <v>2250</v>
      </c>
      <c r="H375" s="25"/>
      <c r="I375" s="39">
        <f t="shared" si="61"/>
        <v>0</v>
      </c>
      <c r="J375" s="25">
        <v>2250</v>
      </c>
      <c r="K375" s="119">
        <f t="shared" si="56"/>
        <v>0.008448348568750963</v>
      </c>
      <c r="L375" s="40"/>
      <c r="M375" s="110"/>
      <c r="N375" s="36"/>
      <c r="O375" s="35">
        <f t="shared" si="57"/>
        <v>0</v>
      </c>
      <c r="P375" s="90"/>
    </row>
    <row r="376" spans="1:16" ht="12.75">
      <c r="A376" s="134"/>
      <c r="B376" s="164">
        <v>80113</v>
      </c>
      <c r="C376" s="50"/>
      <c r="D376" s="3" t="s">
        <v>164</v>
      </c>
      <c r="E376" s="5">
        <f aca="true" t="shared" si="63" ref="E376:M376">E383+E384+E386+E388+E385+E387+E382+E377+E378+E379+E380+E381+E389</f>
        <v>517711.75</v>
      </c>
      <c r="F376" s="5">
        <f t="shared" si="63"/>
        <v>546338</v>
      </c>
      <c r="G376" s="5">
        <f t="shared" si="63"/>
        <v>542338</v>
      </c>
      <c r="H376" s="5">
        <f t="shared" si="63"/>
        <v>331126.43</v>
      </c>
      <c r="I376" s="5" t="e">
        <f t="shared" si="63"/>
        <v>#DIV/0!</v>
      </c>
      <c r="J376" s="5">
        <f t="shared" si="63"/>
        <v>552850</v>
      </c>
      <c r="K376" s="120">
        <f t="shared" si="56"/>
        <v>2.0758531138817644</v>
      </c>
      <c r="L376" s="5">
        <f t="shared" si="63"/>
        <v>595086</v>
      </c>
      <c r="M376" s="45">
        <f t="shared" si="63"/>
        <v>0</v>
      </c>
      <c r="N376" s="38">
        <f>(L376/J376)*100</f>
        <v>107.63968526725152</v>
      </c>
      <c r="O376" s="67">
        <f t="shared" si="57"/>
        <v>2.3993144687244317</v>
      </c>
      <c r="P376" s="90"/>
    </row>
    <row r="377" spans="1:16" s="108" customFormat="1" ht="12.75">
      <c r="A377" s="134"/>
      <c r="B377" s="145"/>
      <c r="C377" s="33">
        <v>3020</v>
      </c>
      <c r="D377" s="4" t="s">
        <v>174</v>
      </c>
      <c r="E377" s="6"/>
      <c r="F377" s="6"/>
      <c r="G377" s="6"/>
      <c r="H377" s="6"/>
      <c r="I377" s="39" t="e">
        <f aca="true" t="shared" si="64" ref="I377:I388">(H377/G377)*100</f>
        <v>#DIV/0!</v>
      </c>
      <c r="J377" s="6"/>
      <c r="K377" s="119">
        <f t="shared" si="56"/>
        <v>0</v>
      </c>
      <c r="L377" s="6">
        <v>600</v>
      </c>
      <c r="M377" s="60"/>
      <c r="N377" s="36"/>
      <c r="O377" s="35">
        <f t="shared" si="57"/>
        <v>0.002419127119835888</v>
      </c>
      <c r="P377" s="90"/>
    </row>
    <row r="378" spans="1:16" s="108" customFormat="1" ht="12.75">
      <c r="A378" s="134"/>
      <c r="B378" s="145"/>
      <c r="C378" s="33">
        <v>4010</v>
      </c>
      <c r="D378" s="4" t="s">
        <v>95</v>
      </c>
      <c r="E378" s="6"/>
      <c r="F378" s="6"/>
      <c r="G378" s="6"/>
      <c r="H378" s="6"/>
      <c r="I378" s="39" t="e">
        <f t="shared" si="64"/>
        <v>#DIV/0!</v>
      </c>
      <c r="J378" s="6"/>
      <c r="K378" s="119">
        <f t="shared" si="56"/>
        <v>0</v>
      </c>
      <c r="L378" s="6">
        <v>47440</v>
      </c>
      <c r="M378" s="60"/>
      <c r="N378" s="36"/>
      <c r="O378" s="35">
        <f t="shared" si="57"/>
        <v>0.19127231760835753</v>
      </c>
      <c r="P378" s="90"/>
    </row>
    <row r="379" spans="1:16" s="108" customFormat="1" ht="12.75">
      <c r="A379" s="134"/>
      <c r="B379" s="145"/>
      <c r="C379" s="33">
        <v>4040</v>
      </c>
      <c r="D379" s="4" t="s">
        <v>158</v>
      </c>
      <c r="E379" s="6"/>
      <c r="F379" s="6"/>
      <c r="G379" s="6"/>
      <c r="H379" s="6"/>
      <c r="I379" s="39" t="e">
        <f t="shared" si="64"/>
        <v>#DIV/0!</v>
      </c>
      <c r="J379" s="6"/>
      <c r="K379" s="119">
        <f t="shared" si="56"/>
        <v>0</v>
      </c>
      <c r="L379" s="6">
        <v>3495</v>
      </c>
      <c r="M379" s="60"/>
      <c r="N379" s="36"/>
      <c r="O379" s="35">
        <f t="shared" si="57"/>
        <v>0.014091415473044046</v>
      </c>
      <c r="P379" s="90"/>
    </row>
    <row r="380" spans="1:16" s="108" customFormat="1" ht="12.75">
      <c r="A380" s="134"/>
      <c r="B380" s="145"/>
      <c r="C380" s="33">
        <v>4110</v>
      </c>
      <c r="D380" s="4" t="s">
        <v>84</v>
      </c>
      <c r="E380" s="6"/>
      <c r="F380" s="6"/>
      <c r="G380" s="6"/>
      <c r="H380" s="6"/>
      <c r="I380" s="39" t="e">
        <f t="shared" si="64"/>
        <v>#DIV/0!</v>
      </c>
      <c r="J380" s="6"/>
      <c r="K380" s="119">
        <f t="shared" si="56"/>
        <v>0</v>
      </c>
      <c r="L380" s="6">
        <v>8853</v>
      </c>
      <c r="M380" s="60"/>
      <c r="N380" s="36"/>
      <c r="O380" s="35">
        <f t="shared" si="57"/>
        <v>0.035694220653178524</v>
      </c>
      <c r="P380" s="90"/>
    </row>
    <row r="381" spans="1:16" s="108" customFormat="1" ht="12.75">
      <c r="A381" s="134"/>
      <c r="B381" s="145"/>
      <c r="C381" s="33">
        <v>4120</v>
      </c>
      <c r="D381" s="4" t="s">
        <v>106</v>
      </c>
      <c r="E381" s="6"/>
      <c r="F381" s="6"/>
      <c r="G381" s="6"/>
      <c r="H381" s="6"/>
      <c r="I381" s="39" t="e">
        <f t="shared" si="64"/>
        <v>#DIV/0!</v>
      </c>
      <c r="J381" s="6"/>
      <c r="K381" s="119">
        <f t="shared" si="56"/>
        <v>0</v>
      </c>
      <c r="L381" s="6">
        <v>1278</v>
      </c>
      <c r="M381" s="60"/>
      <c r="N381" s="36"/>
      <c r="O381" s="35">
        <f t="shared" si="57"/>
        <v>0.005152740765250441</v>
      </c>
      <c r="P381" s="90"/>
    </row>
    <row r="382" spans="1:16" s="108" customFormat="1" ht="12.75">
      <c r="A382" s="134"/>
      <c r="B382" s="145"/>
      <c r="C382" s="33">
        <v>4170</v>
      </c>
      <c r="D382" s="4" t="s">
        <v>86</v>
      </c>
      <c r="E382" s="6">
        <v>3599</v>
      </c>
      <c r="F382" s="6">
        <v>3000</v>
      </c>
      <c r="G382" s="6">
        <v>3000</v>
      </c>
      <c r="H382" s="6">
        <v>1912</v>
      </c>
      <c r="I382" s="39">
        <f t="shared" si="64"/>
        <v>63.733333333333334</v>
      </c>
      <c r="J382" s="6">
        <v>1955</v>
      </c>
      <c r="K382" s="119">
        <f t="shared" si="56"/>
        <v>0.007340676200848059</v>
      </c>
      <c r="L382" s="6">
        <v>3000</v>
      </c>
      <c r="M382" s="60"/>
      <c r="N382" s="36"/>
      <c r="O382" s="35">
        <f t="shared" si="57"/>
        <v>0.012095635599179439</v>
      </c>
      <c r="P382" s="90"/>
    </row>
    <row r="383" spans="1:16" ht="12.75">
      <c r="A383" s="134"/>
      <c r="B383" s="130"/>
      <c r="C383" s="33">
        <v>4210</v>
      </c>
      <c r="D383" s="4" t="s">
        <v>74</v>
      </c>
      <c r="E383" s="6">
        <v>38114.43</v>
      </c>
      <c r="F383" s="6">
        <v>43950</v>
      </c>
      <c r="G383" s="6">
        <v>43950</v>
      </c>
      <c r="H383" s="6">
        <v>30797.45</v>
      </c>
      <c r="I383" s="39">
        <f t="shared" si="64"/>
        <v>70.07383390216155</v>
      </c>
      <c r="J383" s="6">
        <v>42600</v>
      </c>
      <c r="K383" s="119">
        <f t="shared" si="56"/>
        <v>0.1599553995683516</v>
      </c>
      <c r="L383" s="29">
        <v>44600</v>
      </c>
      <c r="M383" s="80"/>
      <c r="N383" s="36">
        <f aca="true" t="shared" si="65" ref="N383:N390">(L383/J383)*100</f>
        <v>104.69483568075117</v>
      </c>
      <c r="O383" s="35">
        <f t="shared" si="57"/>
        <v>0.17982178257446765</v>
      </c>
      <c r="P383" s="90"/>
    </row>
    <row r="384" spans="1:16" ht="12.75">
      <c r="A384" s="134"/>
      <c r="B384" s="130"/>
      <c r="C384" s="33">
        <v>4270</v>
      </c>
      <c r="D384" s="4" t="s">
        <v>77</v>
      </c>
      <c r="E384" s="6">
        <v>3426</v>
      </c>
      <c r="F384" s="6">
        <v>6000</v>
      </c>
      <c r="G384" s="6">
        <v>6000</v>
      </c>
      <c r="H384" s="6">
        <v>3014.8</v>
      </c>
      <c r="I384" s="39">
        <f t="shared" si="64"/>
        <v>50.24666666666667</v>
      </c>
      <c r="J384" s="6">
        <v>4000</v>
      </c>
      <c r="K384" s="119">
        <f t="shared" si="56"/>
        <v>0.015019286344446157</v>
      </c>
      <c r="L384" s="29">
        <v>5000</v>
      </c>
      <c r="M384" s="80"/>
      <c r="N384" s="36">
        <f t="shared" si="65"/>
        <v>125</v>
      </c>
      <c r="O384" s="35">
        <f t="shared" si="57"/>
        <v>0.020159392665299068</v>
      </c>
      <c r="P384" s="90"/>
    </row>
    <row r="385" spans="1:16" ht="12.75">
      <c r="A385" s="134"/>
      <c r="B385" s="130"/>
      <c r="C385" s="33">
        <v>4280</v>
      </c>
      <c r="D385" s="4" t="s">
        <v>91</v>
      </c>
      <c r="E385" s="6"/>
      <c r="F385" s="6">
        <v>200</v>
      </c>
      <c r="G385" s="6">
        <v>200</v>
      </c>
      <c r="H385" s="6">
        <v>120</v>
      </c>
      <c r="I385" s="39">
        <f t="shared" si="64"/>
        <v>60</v>
      </c>
      <c r="J385" s="6">
        <v>160</v>
      </c>
      <c r="K385" s="119">
        <f t="shared" si="56"/>
        <v>0.0006007714537778463</v>
      </c>
      <c r="L385" s="29">
        <v>200</v>
      </c>
      <c r="M385" s="80"/>
      <c r="N385" s="36">
        <f t="shared" si="65"/>
        <v>125</v>
      </c>
      <c r="O385" s="35">
        <f t="shared" si="57"/>
        <v>0.0008063757066119625</v>
      </c>
      <c r="P385" s="90"/>
    </row>
    <row r="386" spans="1:16" ht="12.75">
      <c r="A386" s="134"/>
      <c r="B386" s="130"/>
      <c r="C386" s="33">
        <v>4300</v>
      </c>
      <c r="D386" s="4" t="s">
        <v>87</v>
      </c>
      <c r="E386" s="6">
        <v>467015.25</v>
      </c>
      <c r="F386" s="6">
        <v>485288</v>
      </c>
      <c r="G386" s="6">
        <v>481288</v>
      </c>
      <c r="H386" s="6">
        <v>291305.69</v>
      </c>
      <c r="I386" s="39">
        <f t="shared" si="64"/>
        <v>60.5262732501122</v>
      </c>
      <c r="J386" s="6">
        <v>496020</v>
      </c>
      <c r="K386" s="119">
        <f t="shared" si="56"/>
        <v>1.8624666031430457</v>
      </c>
      <c r="L386" s="29">
        <v>470420</v>
      </c>
      <c r="M386" s="80"/>
      <c r="N386" s="36">
        <f t="shared" si="65"/>
        <v>94.83891778557316</v>
      </c>
      <c r="O386" s="35">
        <f t="shared" si="57"/>
        <v>1.8966762995219975</v>
      </c>
      <c r="P386" s="90"/>
    </row>
    <row r="387" spans="1:16" ht="22.5">
      <c r="A387" s="134"/>
      <c r="B387" s="130"/>
      <c r="C387" s="33">
        <v>4360</v>
      </c>
      <c r="D387" s="4" t="s">
        <v>165</v>
      </c>
      <c r="E387" s="6">
        <v>756.07</v>
      </c>
      <c r="F387" s="6">
        <v>900</v>
      </c>
      <c r="G387" s="6">
        <v>900</v>
      </c>
      <c r="H387" s="6">
        <v>787.49</v>
      </c>
      <c r="I387" s="39">
        <f t="shared" si="64"/>
        <v>87.4988888888889</v>
      </c>
      <c r="J387" s="6">
        <v>1115</v>
      </c>
      <c r="K387" s="119">
        <f t="shared" si="56"/>
        <v>0.004186626068514366</v>
      </c>
      <c r="L387" s="29">
        <v>1000</v>
      </c>
      <c r="M387" s="80"/>
      <c r="N387" s="36">
        <f t="shared" si="65"/>
        <v>89.68609865470853</v>
      </c>
      <c r="O387" s="35">
        <f t="shared" si="57"/>
        <v>0.0040318785330598125</v>
      </c>
      <c r="P387" s="90"/>
    </row>
    <row r="388" spans="1:16" ht="12.75">
      <c r="A388" s="134"/>
      <c r="B388" s="130"/>
      <c r="C388" s="33">
        <v>4430</v>
      </c>
      <c r="D388" s="4" t="s">
        <v>88</v>
      </c>
      <c r="E388" s="6">
        <v>4801</v>
      </c>
      <c r="F388" s="6">
        <v>7000</v>
      </c>
      <c r="G388" s="6">
        <v>7000</v>
      </c>
      <c r="H388" s="6">
        <v>3189</v>
      </c>
      <c r="I388" s="39">
        <f t="shared" si="64"/>
        <v>45.55714285714286</v>
      </c>
      <c r="J388" s="6">
        <v>7000</v>
      </c>
      <c r="K388" s="119">
        <f t="shared" si="56"/>
        <v>0.02628375110278077</v>
      </c>
      <c r="L388" s="29">
        <v>7000</v>
      </c>
      <c r="M388" s="80"/>
      <c r="N388" s="36">
        <f t="shared" si="65"/>
        <v>100</v>
      </c>
      <c r="O388" s="35">
        <f t="shared" si="57"/>
        <v>0.028223149731418692</v>
      </c>
      <c r="P388" s="90"/>
    </row>
    <row r="389" spans="1:16" ht="12.75">
      <c r="A389" s="134"/>
      <c r="B389" s="146"/>
      <c r="C389" s="33">
        <v>4440</v>
      </c>
      <c r="D389" s="4" t="s">
        <v>200</v>
      </c>
      <c r="E389" s="6"/>
      <c r="F389" s="6"/>
      <c r="G389" s="6"/>
      <c r="H389" s="6"/>
      <c r="I389" s="39"/>
      <c r="J389" s="6"/>
      <c r="K389" s="119">
        <f aca="true" t="shared" si="66" ref="K389:K452">(J389/$J$769)*100</f>
        <v>0</v>
      </c>
      <c r="L389" s="29">
        <v>2200</v>
      </c>
      <c r="M389" s="80"/>
      <c r="N389" s="36"/>
      <c r="O389" s="35">
        <f aca="true" t="shared" si="67" ref="O389:O452">L389/$L$769*100</f>
        <v>0.008870132772731588</v>
      </c>
      <c r="P389" s="90"/>
    </row>
    <row r="390" spans="1:16" ht="12.75">
      <c r="A390" s="134"/>
      <c r="B390" s="153">
        <v>80114</v>
      </c>
      <c r="C390" s="50"/>
      <c r="D390" s="3" t="s">
        <v>60</v>
      </c>
      <c r="E390" s="5">
        <f aca="true" t="shared" si="68" ref="E390:M390">E391+E392+E393+E394+E395+E397+E398+E400+E402+E407+E409+E410+E401+E404+E405+E411+E408+E399+E403+E396+E406</f>
        <v>486734.3499999999</v>
      </c>
      <c r="F390" s="5">
        <f t="shared" si="68"/>
        <v>526207</v>
      </c>
      <c r="G390" s="5">
        <f t="shared" si="68"/>
        <v>534238</v>
      </c>
      <c r="H390" s="5">
        <f t="shared" si="68"/>
        <v>369268.99999999994</v>
      </c>
      <c r="I390" s="5">
        <f t="shared" si="68"/>
        <v>1055.8171898134337</v>
      </c>
      <c r="J390" s="5">
        <f t="shared" si="68"/>
        <v>512888</v>
      </c>
      <c r="K390" s="120">
        <f t="shared" si="66"/>
        <v>1.9258029336575753</v>
      </c>
      <c r="L390" s="5">
        <f t="shared" si="68"/>
        <v>479809</v>
      </c>
      <c r="M390" s="45">
        <f t="shared" si="68"/>
        <v>0</v>
      </c>
      <c r="N390" s="38">
        <f t="shared" si="65"/>
        <v>93.55044376160097</v>
      </c>
      <c r="O390" s="67">
        <f t="shared" si="67"/>
        <v>1.934531607068896</v>
      </c>
      <c r="P390" s="90"/>
    </row>
    <row r="391" spans="1:16" ht="12.75">
      <c r="A391" s="134"/>
      <c r="B391" s="154"/>
      <c r="C391" s="33">
        <v>3020</v>
      </c>
      <c r="D391" s="4" t="s">
        <v>157</v>
      </c>
      <c r="E391" s="6">
        <v>2533.82</v>
      </c>
      <c r="F391" s="6">
        <v>5800</v>
      </c>
      <c r="G391" s="6">
        <v>5800</v>
      </c>
      <c r="H391" s="6">
        <v>589.08</v>
      </c>
      <c r="I391" s="39">
        <f aca="true" t="shared" si="69" ref="I391:I411">(H391/G391)*100</f>
        <v>10.156551724137932</v>
      </c>
      <c r="J391" s="6">
        <v>5200</v>
      </c>
      <c r="K391" s="119">
        <f t="shared" si="66"/>
        <v>0.019525072247780002</v>
      </c>
      <c r="L391" s="29">
        <v>3200</v>
      </c>
      <c r="M391" s="80"/>
      <c r="N391" s="36">
        <f aca="true" t="shared" si="70" ref="N391:N426">(L391/J391)*100</f>
        <v>61.53846153846154</v>
      </c>
      <c r="O391" s="35">
        <f t="shared" si="67"/>
        <v>0.0129020113057914</v>
      </c>
      <c r="P391" s="90"/>
    </row>
    <row r="392" spans="1:16" ht="12.75">
      <c r="A392" s="134"/>
      <c r="B392" s="154"/>
      <c r="C392" s="33">
        <v>4010</v>
      </c>
      <c r="D392" s="4" t="s">
        <v>95</v>
      </c>
      <c r="E392" s="6">
        <v>329526.42</v>
      </c>
      <c r="F392" s="6">
        <v>350450</v>
      </c>
      <c r="G392" s="6">
        <v>350450</v>
      </c>
      <c r="H392" s="6">
        <v>247740.35</v>
      </c>
      <c r="I392" s="39">
        <f t="shared" si="69"/>
        <v>70.69206734198887</v>
      </c>
      <c r="J392" s="6">
        <v>350450</v>
      </c>
      <c r="K392" s="119">
        <f t="shared" si="66"/>
        <v>1.315877224852789</v>
      </c>
      <c r="L392" s="29">
        <v>314112</v>
      </c>
      <c r="M392" s="80"/>
      <c r="N392" s="36">
        <f t="shared" si="70"/>
        <v>89.63104579825938</v>
      </c>
      <c r="O392" s="35">
        <f t="shared" si="67"/>
        <v>1.266461429776484</v>
      </c>
      <c r="P392" s="90"/>
    </row>
    <row r="393" spans="1:16" ht="12.75">
      <c r="A393" s="134"/>
      <c r="B393" s="154"/>
      <c r="C393" s="33">
        <v>4040</v>
      </c>
      <c r="D393" s="4" t="s">
        <v>158</v>
      </c>
      <c r="E393" s="6">
        <v>25297</v>
      </c>
      <c r="F393" s="6">
        <v>26230</v>
      </c>
      <c r="G393" s="6">
        <v>26230</v>
      </c>
      <c r="H393" s="6">
        <v>26176.1</v>
      </c>
      <c r="I393" s="39">
        <f t="shared" si="69"/>
        <v>99.79451010293556</v>
      </c>
      <c r="J393" s="6">
        <v>26177</v>
      </c>
      <c r="K393" s="119">
        <f t="shared" si="66"/>
        <v>0.09828996465964177</v>
      </c>
      <c r="L393" s="29">
        <v>24100</v>
      </c>
      <c r="M393" s="80"/>
      <c r="N393" s="36">
        <f t="shared" si="70"/>
        <v>92.06555373037399</v>
      </c>
      <c r="O393" s="35">
        <f t="shared" si="67"/>
        <v>0.0971682726467415</v>
      </c>
      <c r="P393" s="90"/>
    </row>
    <row r="394" spans="1:16" ht="12.75">
      <c r="A394" s="134"/>
      <c r="B394" s="154"/>
      <c r="C394" s="33">
        <v>4110</v>
      </c>
      <c r="D394" s="4" t="s">
        <v>84</v>
      </c>
      <c r="E394" s="6">
        <v>53829.04</v>
      </c>
      <c r="F394" s="6">
        <v>57557</v>
      </c>
      <c r="G394" s="6">
        <v>65588</v>
      </c>
      <c r="H394" s="6">
        <v>41613.62</v>
      </c>
      <c r="I394" s="39">
        <f t="shared" si="69"/>
        <v>63.44700250045741</v>
      </c>
      <c r="J394" s="6">
        <v>57600</v>
      </c>
      <c r="K394" s="119">
        <f t="shared" si="66"/>
        <v>0.21627772336002465</v>
      </c>
      <c r="L394" s="29">
        <v>59650</v>
      </c>
      <c r="M394" s="80"/>
      <c r="N394" s="36">
        <f t="shared" si="70"/>
        <v>103.55902777777777</v>
      </c>
      <c r="O394" s="35">
        <f t="shared" si="67"/>
        <v>0.24050155449701782</v>
      </c>
      <c r="P394" s="90"/>
    </row>
    <row r="395" spans="1:16" ht="12.75">
      <c r="A395" s="134"/>
      <c r="B395" s="154"/>
      <c r="C395" s="33">
        <v>4120</v>
      </c>
      <c r="D395" s="4" t="s">
        <v>106</v>
      </c>
      <c r="E395" s="6">
        <v>7623.78</v>
      </c>
      <c r="F395" s="6">
        <v>9170</v>
      </c>
      <c r="G395" s="6">
        <v>9170</v>
      </c>
      <c r="H395" s="6">
        <v>5751.04</v>
      </c>
      <c r="I395" s="39">
        <f t="shared" si="69"/>
        <v>62.71581243184296</v>
      </c>
      <c r="J395" s="6">
        <v>7800</v>
      </c>
      <c r="K395" s="119">
        <f t="shared" si="66"/>
        <v>0.029287608371670003</v>
      </c>
      <c r="L395" s="29">
        <v>8379</v>
      </c>
      <c r="M395" s="80"/>
      <c r="N395" s="36">
        <f t="shared" si="70"/>
        <v>107.42307692307693</v>
      </c>
      <c r="O395" s="35">
        <f t="shared" si="67"/>
        <v>0.033783110228508176</v>
      </c>
      <c r="P395" s="90"/>
    </row>
    <row r="396" spans="1:16" ht="12.75">
      <c r="A396" s="134"/>
      <c r="B396" s="154"/>
      <c r="C396" s="33">
        <v>4140</v>
      </c>
      <c r="D396" s="4" t="s">
        <v>305</v>
      </c>
      <c r="E396" s="6"/>
      <c r="F396" s="6">
        <v>1000</v>
      </c>
      <c r="G396" s="6">
        <v>1000</v>
      </c>
      <c r="H396" s="6"/>
      <c r="I396" s="39">
        <f t="shared" si="69"/>
        <v>0</v>
      </c>
      <c r="J396" s="6"/>
      <c r="K396" s="119">
        <f t="shared" si="66"/>
        <v>0</v>
      </c>
      <c r="L396" s="29">
        <v>500</v>
      </c>
      <c r="M396" s="80"/>
      <c r="N396" s="36"/>
      <c r="O396" s="35">
        <f t="shared" si="67"/>
        <v>0.0020159392665299062</v>
      </c>
      <c r="P396" s="90"/>
    </row>
    <row r="397" spans="1:16" ht="12.75">
      <c r="A397" s="134"/>
      <c r="B397" s="154"/>
      <c r="C397" s="33">
        <v>4170</v>
      </c>
      <c r="D397" s="4" t="s">
        <v>86</v>
      </c>
      <c r="E397" s="6">
        <v>221.8</v>
      </c>
      <c r="F397" s="6">
        <v>1000</v>
      </c>
      <c r="G397" s="6">
        <v>1000</v>
      </c>
      <c r="H397" s="6">
        <v>800</v>
      </c>
      <c r="I397" s="39">
        <f t="shared" si="69"/>
        <v>80</v>
      </c>
      <c r="J397" s="6">
        <v>800</v>
      </c>
      <c r="K397" s="119">
        <f t="shared" si="66"/>
        <v>0.003003857268889231</v>
      </c>
      <c r="L397" s="29">
        <v>1000</v>
      </c>
      <c r="M397" s="80"/>
      <c r="N397" s="36">
        <f t="shared" si="70"/>
        <v>125</v>
      </c>
      <c r="O397" s="35">
        <f t="shared" si="67"/>
        <v>0.0040318785330598125</v>
      </c>
      <c r="P397" s="90"/>
    </row>
    <row r="398" spans="1:16" ht="12.75">
      <c r="A398" s="134"/>
      <c r="B398" s="154"/>
      <c r="C398" s="33">
        <v>4210</v>
      </c>
      <c r="D398" s="4" t="s">
        <v>74</v>
      </c>
      <c r="E398" s="6">
        <v>23433.49</v>
      </c>
      <c r="F398" s="6">
        <v>22800</v>
      </c>
      <c r="G398" s="6">
        <v>22800</v>
      </c>
      <c r="H398" s="6">
        <v>13892.61</v>
      </c>
      <c r="I398" s="39">
        <f t="shared" si="69"/>
        <v>60.9325</v>
      </c>
      <c r="J398" s="6">
        <v>21100</v>
      </c>
      <c r="K398" s="119">
        <f t="shared" si="66"/>
        <v>0.07922673546695348</v>
      </c>
      <c r="L398" s="29">
        <v>21000</v>
      </c>
      <c r="M398" s="80"/>
      <c r="N398" s="36">
        <f t="shared" si="70"/>
        <v>99.52606635071089</v>
      </c>
      <c r="O398" s="35">
        <f t="shared" si="67"/>
        <v>0.08466944919425608</v>
      </c>
      <c r="P398" s="90"/>
    </row>
    <row r="399" spans="1:16" ht="12.75">
      <c r="A399" s="134"/>
      <c r="B399" s="154"/>
      <c r="C399" s="33">
        <v>4260</v>
      </c>
      <c r="D399" s="4" t="s">
        <v>75</v>
      </c>
      <c r="E399" s="6">
        <v>4399.85</v>
      </c>
      <c r="F399" s="6">
        <v>4500</v>
      </c>
      <c r="G399" s="6">
        <v>4500</v>
      </c>
      <c r="H399" s="6">
        <v>3334.36</v>
      </c>
      <c r="I399" s="39">
        <f t="shared" si="69"/>
        <v>74.09688888888888</v>
      </c>
      <c r="J399" s="6">
        <v>5200</v>
      </c>
      <c r="K399" s="119">
        <f t="shared" si="66"/>
        <v>0.019525072247780002</v>
      </c>
      <c r="L399" s="29">
        <v>5400</v>
      </c>
      <c r="M399" s="80"/>
      <c r="N399" s="36">
        <f t="shared" si="70"/>
        <v>103.84615384615385</v>
      </c>
      <c r="O399" s="35">
        <f t="shared" si="67"/>
        <v>0.02177214407852299</v>
      </c>
      <c r="P399" s="90"/>
    </row>
    <row r="400" spans="1:16" ht="12.75">
      <c r="A400" s="134"/>
      <c r="B400" s="154"/>
      <c r="C400" s="33">
        <v>4270</v>
      </c>
      <c r="D400" s="4" t="s">
        <v>77</v>
      </c>
      <c r="E400" s="6">
        <v>1505</v>
      </c>
      <c r="F400" s="6">
        <v>3600</v>
      </c>
      <c r="G400" s="6">
        <v>3600</v>
      </c>
      <c r="H400" s="6">
        <v>222.02</v>
      </c>
      <c r="I400" s="39">
        <f t="shared" si="69"/>
        <v>6.167222222222223</v>
      </c>
      <c r="J400" s="6">
        <v>600</v>
      </c>
      <c r="K400" s="119">
        <f t="shared" si="66"/>
        <v>0.0022528929516669235</v>
      </c>
      <c r="L400" s="29">
        <v>3500</v>
      </c>
      <c r="M400" s="80"/>
      <c r="N400" s="36">
        <f t="shared" si="70"/>
        <v>583.3333333333333</v>
      </c>
      <c r="O400" s="35">
        <f t="shared" si="67"/>
        <v>0.014111574865709346</v>
      </c>
      <c r="P400" s="90"/>
    </row>
    <row r="401" spans="1:16" ht="12.75">
      <c r="A401" s="134"/>
      <c r="B401" s="154"/>
      <c r="C401" s="33">
        <v>4280</v>
      </c>
      <c r="D401" s="4" t="s">
        <v>91</v>
      </c>
      <c r="E401" s="6">
        <v>480</v>
      </c>
      <c r="F401" s="6">
        <v>500</v>
      </c>
      <c r="G401" s="6">
        <v>500</v>
      </c>
      <c r="H401" s="6"/>
      <c r="I401" s="39">
        <f t="shared" si="69"/>
        <v>0</v>
      </c>
      <c r="J401" s="6">
        <v>100</v>
      </c>
      <c r="K401" s="119">
        <f t="shared" si="66"/>
        <v>0.0003754821586111539</v>
      </c>
      <c r="L401" s="29">
        <v>100</v>
      </c>
      <c r="M401" s="80"/>
      <c r="N401" s="36">
        <f t="shared" si="70"/>
        <v>100</v>
      </c>
      <c r="O401" s="35">
        <f t="shared" si="67"/>
        <v>0.00040318785330598127</v>
      </c>
      <c r="P401" s="90"/>
    </row>
    <row r="402" spans="1:16" ht="12.75">
      <c r="A402" s="134"/>
      <c r="B402" s="154"/>
      <c r="C402" s="33">
        <v>4300</v>
      </c>
      <c r="D402" s="4" t="s">
        <v>87</v>
      </c>
      <c r="E402" s="6">
        <v>9595.47</v>
      </c>
      <c r="F402" s="6">
        <v>10100</v>
      </c>
      <c r="G402" s="6">
        <v>10100</v>
      </c>
      <c r="H402" s="6">
        <v>6397.09</v>
      </c>
      <c r="I402" s="39">
        <f t="shared" si="69"/>
        <v>63.33752475247525</v>
      </c>
      <c r="J402" s="6">
        <v>9500</v>
      </c>
      <c r="K402" s="119">
        <f t="shared" si="66"/>
        <v>0.03567080506805962</v>
      </c>
      <c r="L402" s="29">
        <v>9680</v>
      </c>
      <c r="M402" s="80"/>
      <c r="N402" s="36">
        <f t="shared" si="70"/>
        <v>101.89473684210526</v>
      </c>
      <c r="O402" s="35">
        <f t="shared" si="67"/>
        <v>0.03902858420001899</v>
      </c>
      <c r="P402" s="90"/>
    </row>
    <row r="403" spans="1:16" ht="12.75">
      <c r="A403" s="134"/>
      <c r="B403" s="154"/>
      <c r="C403" s="33">
        <v>4350</v>
      </c>
      <c r="D403" s="4" t="s">
        <v>249</v>
      </c>
      <c r="E403" s="6">
        <v>588</v>
      </c>
      <c r="F403" s="6">
        <v>600</v>
      </c>
      <c r="G403" s="6">
        <v>600</v>
      </c>
      <c r="H403" s="6">
        <v>343</v>
      </c>
      <c r="I403" s="39">
        <f t="shared" si="69"/>
        <v>57.166666666666664</v>
      </c>
      <c r="J403" s="6">
        <v>588</v>
      </c>
      <c r="K403" s="119">
        <f t="shared" si="66"/>
        <v>0.002207835092633585</v>
      </c>
      <c r="L403" s="29">
        <v>588</v>
      </c>
      <c r="M403" s="80"/>
      <c r="N403" s="36">
        <f t="shared" si="70"/>
        <v>100</v>
      </c>
      <c r="O403" s="35">
        <f t="shared" si="67"/>
        <v>0.0023707445774391704</v>
      </c>
      <c r="P403" s="90"/>
    </row>
    <row r="404" spans="1:16" ht="22.5">
      <c r="A404" s="134"/>
      <c r="B404" s="154"/>
      <c r="C404" s="33">
        <v>4360</v>
      </c>
      <c r="D404" s="4" t="s">
        <v>165</v>
      </c>
      <c r="E404" s="6">
        <v>3623.63</v>
      </c>
      <c r="F404" s="6">
        <v>4000</v>
      </c>
      <c r="G404" s="6">
        <v>4000</v>
      </c>
      <c r="H404" s="6">
        <v>2920.61</v>
      </c>
      <c r="I404" s="39">
        <f t="shared" si="69"/>
        <v>73.01525</v>
      </c>
      <c r="J404" s="6">
        <v>4000</v>
      </c>
      <c r="K404" s="119">
        <f t="shared" si="66"/>
        <v>0.015019286344446157</v>
      </c>
      <c r="L404" s="29">
        <v>4000</v>
      </c>
      <c r="M404" s="80"/>
      <c r="N404" s="36">
        <f t="shared" si="70"/>
        <v>100</v>
      </c>
      <c r="O404" s="35">
        <f t="shared" si="67"/>
        <v>0.01612751413223925</v>
      </c>
      <c r="P404" s="90"/>
    </row>
    <row r="405" spans="1:16" ht="26.25" customHeight="1">
      <c r="A405" s="134"/>
      <c r="B405" s="154"/>
      <c r="C405" s="33">
        <v>4370</v>
      </c>
      <c r="D405" s="4" t="s">
        <v>150</v>
      </c>
      <c r="E405" s="6">
        <v>3538.2</v>
      </c>
      <c r="F405" s="6">
        <v>4000</v>
      </c>
      <c r="G405" s="6">
        <v>4000</v>
      </c>
      <c r="H405" s="6">
        <v>2369.11</v>
      </c>
      <c r="I405" s="39">
        <f t="shared" si="69"/>
        <v>59.22775</v>
      </c>
      <c r="J405" s="6">
        <v>3300</v>
      </c>
      <c r="K405" s="119">
        <f t="shared" si="66"/>
        <v>0.01239091123416808</v>
      </c>
      <c r="L405" s="29">
        <v>3500</v>
      </c>
      <c r="M405" s="80"/>
      <c r="N405" s="36">
        <f t="shared" si="70"/>
        <v>106.06060606060606</v>
      </c>
      <c r="O405" s="35">
        <f t="shared" si="67"/>
        <v>0.014111574865709346</v>
      </c>
      <c r="P405" s="90"/>
    </row>
    <row r="406" spans="1:16" ht="26.25" customHeight="1">
      <c r="A406" s="134"/>
      <c r="B406" s="154"/>
      <c r="C406" s="33">
        <v>4400</v>
      </c>
      <c r="D406" s="4" t="s">
        <v>251</v>
      </c>
      <c r="E406" s="6">
        <v>2933.52</v>
      </c>
      <c r="F406" s="6">
        <v>3200</v>
      </c>
      <c r="G406" s="6">
        <v>3200</v>
      </c>
      <c r="H406" s="6">
        <v>2233.38</v>
      </c>
      <c r="I406" s="39">
        <f t="shared" si="69"/>
        <v>69.793125</v>
      </c>
      <c r="J406" s="6">
        <v>3200</v>
      </c>
      <c r="K406" s="119">
        <f t="shared" si="66"/>
        <v>0.012015429075556925</v>
      </c>
      <c r="L406" s="29">
        <v>3600</v>
      </c>
      <c r="M406" s="80"/>
      <c r="N406" s="36">
        <f t="shared" si="70"/>
        <v>112.5</v>
      </c>
      <c r="O406" s="35">
        <f t="shared" si="67"/>
        <v>0.014514762719015325</v>
      </c>
      <c r="P406" s="90"/>
    </row>
    <row r="407" spans="1:16" ht="12.75">
      <c r="A407" s="134"/>
      <c r="B407" s="154"/>
      <c r="C407" s="33">
        <v>4410</v>
      </c>
      <c r="D407" s="4" t="s">
        <v>125</v>
      </c>
      <c r="E407" s="6">
        <v>386.91</v>
      </c>
      <c r="F407" s="6">
        <v>1000</v>
      </c>
      <c r="G407" s="6">
        <v>1000</v>
      </c>
      <c r="H407" s="6">
        <v>351.4</v>
      </c>
      <c r="I407" s="39">
        <f t="shared" si="69"/>
        <v>35.14</v>
      </c>
      <c r="J407" s="6">
        <v>800</v>
      </c>
      <c r="K407" s="119">
        <f t="shared" si="66"/>
        <v>0.003003857268889231</v>
      </c>
      <c r="L407" s="29">
        <v>1000</v>
      </c>
      <c r="M407" s="80"/>
      <c r="N407" s="36">
        <f t="shared" si="70"/>
        <v>125</v>
      </c>
      <c r="O407" s="35">
        <f t="shared" si="67"/>
        <v>0.0040318785330598125</v>
      </c>
      <c r="P407" s="90"/>
    </row>
    <row r="408" spans="1:16" ht="12.75">
      <c r="A408" s="134"/>
      <c r="B408" s="154"/>
      <c r="C408" s="33">
        <v>4420</v>
      </c>
      <c r="D408" s="4" t="s">
        <v>127</v>
      </c>
      <c r="E408" s="6"/>
      <c r="F408" s="6">
        <v>500</v>
      </c>
      <c r="G408" s="6">
        <v>500</v>
      </c>
      <c r="H408" s="6"/>
      <c r="I408" s="39">
        <f t="shared" si="69"/>
        <v>0</v>
      </c>
      <c r="J408" s="6"/>
      <c r="K408" s="119">
        <f t="shared" si="66"/>
        <v>0</v>
      </c>
      <c r="L408" s="29"/>
      <c r="M408" s="80"/>
      <c r="N408" s="36"/>
      <c r="O408" s="35">
        <f t="shared" si="67"/>
        <v>0</v>
      </c>
      <c r="P408" s="90"/>
    </row>
    <row r="409" spans="1:16" ht="12.75">
      <c r="A409" s="134"/>
      <c r="B409" s="154"/>
      <c r="C409" s="33">
        <v>4430</v>
      </c>
      <c r="D409" s="4" t="s">
        <v>88</v>
      </c>
      <c r="E409" s="6">
        <v>2968</v>
      </c>
      <c r="F409" s="6">
        <v>3000</v>
      </c>
      <c r="G409" s="6">
        <v>3000</v>
      </c>
      <c r="H409" s="6">
        <v>1216</v>
      </c>
      <c r="I409" s="39">
        <f t="shared" si="69"/>
        <v>40.53333333333333</v>
      </c>
      <c r="J409" s="6">
        <v>1800</v>
      </c>
      <c r="K409" s="119">
        <f t="shared" si="66"/>
        <v>0.0067586788550007704</v>
      </c>
      <c r="L409" s="29">
        <v>2200</v>
      </c>
      <c r="M409" s="80"/>
      <c r="N409" s="36">
        <f t="shared" si="70"/>
        <v>122.22222222222223</v>
      </c>
      <c r="O409" s="35">
        <f t="shared" si="67"/>
        <v>0.008870132772731588</v>
      </c>
      <c r="P409" s="90"/>
    </row>
    <row r="410" spans="1:16" ht="12.75">
      <c r="A410" s="134"/>
      <c r="B410" s="154"/>
      <c r="C410" s="33">
        <v>4440</v>
      </c>
      <c r="D410" s="4" t="s">
        <v>161</v>
      </c>
      <c r="E410" s="6">
        <v>11577.42</v>
      </c>
      <c r="F410" s="6">
        <v>13200</v>
      </c>
      <c r="G410" s="6">
        <v>13200</v>
      </c>
      <c r="H410" s="6">
        <v>11672.23</v>
      </c>
      <c r="I410" s="39">
        <f t="shared" si="69"/>
        <v>88.42598484848484</v>
      </c>
      <c r="J410" s="6">
        <v>11673</v>
      </c>
      <c r="K410" s="119">
        <f t="shared" si="66"/>
        <v>0.04383003237467999</v>
      </c>
      <c r="L410" s="29">
        <v>10800</v>
      </c>
      <c r="M410" s="80"/>
      <c r="N410" s="36">
        <f t="shared" si="70"/>
        <v>92.52120277563608</v>
      </c>
      <c r="O410" s="35">
        <f t="shared" si="67"/>
        <v>0.04354428815704598</v>
      </c>
      <c r="P410" s="90"/>
    </row>
    <row r="411" spans="1:16" ht="22.5">
      <c r="A411" s="134"/>
      <c r="B411" s="154"/>
      <c r="C411" s="33">
        <v>4700</v>
      </c>
      <c r="D411" s="4" t="s">
        <v>140</v>
      </c>
      <c r="E411" s="6">
        <v>2673</v>
      </c>
      <c r="F411" s="6">
        <v>4000</v>
      </c>
      <c r="G411" s="6">
        <v>4000</v>
      </c>
      <c r="H411" s="6">
        <v>1647</v>
      </c>
      <c r="I411" s="39">
        <f t="shared" si="69"/>
        <v>41.175</v>
      </c>
      <c r="J411" s="6">
        <v>3000</v>
      </c>
      <c r="K411" s="119">
        <f t="shared" si="66"/>
        <v>0.011264464758334617</v>
      </c>
      <c r="L411" s="29">
        <v>3500</v>
      </c>
      <c r="M411" s="80"/>
      <c r="N411" s="36">
        <f t="shared" si="70"/>
        <v>116.66666666666667</v>
      </c>
      <c r="O411" s="35">
        <f t="shared" si="67"/>
        <v>0.014111574865709346</v>
      </c>
      <c r="P411" s="90"/>
    </row>
    <row r="412" spans="1:16" ht="12.75">
      <c r="A412" s="134"/>
      <c r="B412" s="153">
        <v>80120</v>
      </c>
      <c r="C412" s="50"/>
      <c r="D412" s="3" t="s">
        <v>166</v>
      </c>
      <c r="E412" s="5">
        <f aca="true" t="shared" si="71" ref="E412:M412">E413+E414+E415+E416+E417+E418</f>
        <v>109844.59</v>
      </c>
      <c r="F412" s="5">
        <f t="shared" si="71"/>
        <v>148403</v>
      </c>
      <c r="G412" s="5">
        <f t="shared" si="71"/>
        <v>258435</v>
      </c>
      <c r="H412" s="5">
        <f t="shared" si="71"/>
        <v>140321.53000000003</v>
      </c>
      <c r="I412" s="5">
        <f t="shared" si="71"/>
        <v>371.77910140782666</v>
      </c>
      <c r="J412" s="5">
        <f t="shared" si="71"/>
        <v>248872</v>
      </c>
      <c r="K412" s="120">
        <f t="shared" si="66"/>
        <v>0.934469957778751</v>
      </c>
      <c r="L412" s="5">
        <f t="shared" si="71"/>
        <v>363338</v>
      </c>
      <c r="M412" s="45">
        <f t="shared" si="71"/>
        <v>0</v>
      </c>
      <c r="N412" s="38">
        <f t="shared" si="70"/>
        <v>145.99392458773988</v>
      </c>
      <c r="O412" s="67">
        <f t="shared" si="67"/>
        <v>1.4649346824448863</v>
      </c>
      <c r="P412" s="90"/>
    </row>
    <row r="413" spans="1:16" ht="12.75">
      <c r="A413" s="134"/>
      <c r="B413" s="154"/>
      <c r="C413" s="33">
        <v>3020</v>
      </c>
      <c r="D413" s="4" t="s">
        <v>157</v>
      </c>
      <c r="E413" s="6">
        <v>6678.25</v>
      </c>
      <c r="F413" s="6">
        <v>10255</v>
      </c>
      <c r="G413" s="6">
        <v>16055</v>
      </c>
      <c r="H413" s="6">
        <v>7786.18</v>
      </c>
      <c r="I413" s="39">
        <f aca="true" t="shared" si="72" ref="I413:I425">(H413/G413)*100</f>
        <v>48.49691684833385</v>
      </c>
      <c r="J413" s="6">
        <v>14603</v>
      </c>
      <c r="K413" s="119">
        <f t="shared" si="66"/>
        <v>0.05483165962198681</v>
      </c>
      <c r="L413" s="29">
        <v>19668</v>
      </c>
      <c r="M413" s="80"/>
      <c r="N413" s="36">
        <f t="shared" si="70"/>
        <v>134.68465383825242</v>
      </c>
      <c r="O413" s="35">
        <f t="shared" si="67"/>
        <v>0.07929898698822041</v>
      </c>
      <c r="P413" s="90"/>
    </row>
    <row r="414" spans="1:16" ht="12.75">
      <c r="A414" s="134"/>
      <c r="B414" s="154"/>
      <c r="C414" s="33">
        <v>4010</v>
      </c>
      <c r="D414" s="4" t="s">
        <v>95</v>
      </c>
      <c r="E414" s="6">
        <v>80252.48</v>
      </c>
      <c r="F414" s="6">
        <v>98420</v>
      </c>
      <c r="G414" s="6">
        <v>183420</v>
      </c>
      <c r="H414" s="6">
        <v>96432.85</v>
      </c>
      <c r="I414" s="39">
        <f t="shared" si="72"/>
        <v>52.574882782684554</v>
      </c>
      <c r="J414" s="6">
        <v>179000</v>
      </c>
      <c r="K414" s="119">
        <f t="shared" si="66"/>
        <v>0.6721130639139655</v>
      </c>
      <c r="L414" s="29">
        <v>254232</v>
      </c>
      <c r="M414" s="80"/>
      <c r="N414" s="36">
        <f t="shared" si="70"/>
        <v>142.02905027932962</v>
      </c>
      <c r="O414" s="35">
        <f t="shared" si="67"/>
        <v>1.0250325432168623</v>
      </c>
      <c r="P414" s="90"/>
    </row>
    <row r="415" spans="1:16" ht="12.75">
      <c r="A415" s="134"/>
      <c r="B415" s="154"/>
      <c r="C415" s="33">
        <v>4040</v>
      </c>
      <c r="D415" s="4" t="s">
        <v>158</v>
      </c>
      <c r="E415" s="6">
        <v>1767.35</v>
      </c>
      <c r="F415" s="6">
        <v>6670</v>
      </c>
      <c r="G415" s="6">
        <v>6670</v>
      </c>
      <c r="H415" s="6">
        <v>5868.66</v>
      </c>
      <c r="I415" s="39">
        <f t="shared" si="72"/>
        <v>87.98590704647677</v>
      </c>
      <c r="J415" s="6">
        <v>5869</v>
      </c>
      <c r="K415" s="119">
        <f t="shared" si="66"/>
        <v>0.022037047888888623</v>
      </c>
      <c r="L415" s="29">
        <v>14600</v>
      </c>
      <c r="M415" s="80"/>
      <c r="N415" s="36">
        <f t="shared" si="70"/>
        <v>248.76469585960132</v>
      </c>
      <c r="O415" s="35">
        <f t="shared" si="67"/>
        <v>0.05886542658267327</v>
      </c>
      <c r="P415" s="90"/>
    </row>
    <row r="416" spans="1:16" ht="12.75">
      <c r="A416" s="134"/>
      <c r="B416" s="154"/>
      <c r="C416" s="33">
        <v>4110</v>
      </c>
      <c r="D416" s="4" t="s">
        <v>84</v>
      </c>
      <c r="E416" s="6">
        <v>13236.53</v>
      </c>
      <c r="F416" s="6">
        <v>20340</v>
      </c>
      <c r="G416" s="6">
        <v>34400</v>
      </c>
      <c r="H416" s="6">
        <v>15237.85</v>
      </c>
      <c r="I416" s="39">
        <f t="shared" si="72"/>
        <v>44.29607558139535</v>
      </c>
      <c r="J416" s="6">
        <v>32700</v>
      </c>
      <c r="K416" s="119">
        <f t="shared" si="66"/>
        <v>0.12278266586584732</v>
      </c>
      <c r="L416" s="29">
        <v>48245</v>
      </c>
      <c r="M416" s="80"/>
      <c r="N416" s="36">
        <f t="shared" si="70"/>
        <v>147.5382262996942</v>
      </c>
      <c r="O416" s="35">
        <f t="shared" si="67"/>
        <v>0.19451797982747068</v>
      </c>
      <c r="P416" s="90"/>
    </row>
    <row r="417" spans="1:16" ht="12.75">
      <c r="A417" s="134"/>
      <c r="B417" s="154"/>
      <c r="C417" s="33">
        <v>4120</v>
      </c>
      <c r="D417" s="4" t="s">
        <v>106</v>
      </c>
      <c r="E417" s="6">
        <v>1692.61</v>
      </c>
      <c r="F417" s="6">
        <v>3300</v>
      </c>
      <c r="G417" s="6">
        <v>4700</v>
      </c>
      <c r="H417" s="6">
        <v>1805.99</v>
      </c>
      <c r="I417" s="39">
        <f t="shared" si="72"/>
        <v>38.42531914893617</v>
      </c>
      <c r="J417" s="6">
        <v>3510</v>
      </c>
      <c r="K417" s="119">
        <f t="shared" si="66"/>
        <v>0.013179423767251501</v>
      </c>
      <c r="L417" s="29">
        <v>7342</v>
      </c>
      <c r="M417" s="80"/>
      <c r="N417" s="36">
        <f t="shared" si="70"/>
        <v>209.17378917378917</v>
      </c>
      <c r="O417" s="35">
        <f t="shared" si="67"/>
        <v>0.029602052189725146</v>
      </c>
      <c r="P417" s="90"/>
    </row>
    <row r="418" spans="1:16" ht="12.75">
      <c r="A418" s="134"/>
      <c r="B418" s="154"/>
      <c r="C418" s="33">
        <v>4440</v>
      </c>
      <c r="D418" s="4" t="s">
        <v>161</v>
      </c>
      <c r="E418" s="6">
        <v>6217.37</v>
      </c>
      <c r="F418" s="6">
        <v>9418</v>
      </c>
      <c r="G418" s="6">
        <v>13190</v>
      </c>
      <c r="H418" s="6">
        <v>13190</v>
      </c>
      <c r="I418" s="39">
        <f t="shared" si="72"/>
        <v>100</v>
      </c>
      <c r="J418" s="6">
        <v>13190</v>
      </c>
      <c r="K418" s="119">
        <f t="shared" si="66"/>
        <v>0.04952609672081121</v>
      </c>
      <c r="L418" s="29">
        <v>19251</v>
      </c>
      <c r="M418" s="80"/>
      <c r="N418" s="36">
        <f t="shared" si="70"/>
        <v>145.95147839272175</v>
      </c>
      <c r="O418" s="35">
        <f t="shared" si="67"/>
        <v>0.07761769363993447</v>
      </c>
      <c r="P418" s="90"/>
    </row>
    <row r="419" spans="1:16" ht="12.75">
      <c r="A419" s="134"/>
      <c r="B419" s="153">
        <v>80123</v>
      </c>
      <c r="C419" s="50"/>
      <c r="D419" s="3" t="s">
        <v>167</v>
      </c>
      <c r="E419" s="5" t="e">
        <f>E420+E421+E422+E423+E424+#REF!+E425</f>
        <v>#REF!</v>
      </c>
      <c r="F419" s="5" t="e">
        <f>F420+F421+F422+F423+F424+#REF!+F425</f>
        <v>#REF!</v>
      </c>
      <c r="G419" s="5" t="e">
        <f>G420+G421+G422+G423+G424+#REF!+G425</f>
        <v>#REF!</v>
      </c>
      <c r="H419" s="5" t="e">
        <f>H420+H421+H422+H423+H424+#REF!+H425</f>
        <v>#REF!</v>
      </c>
      <c r="I419" s="39" t="e">
        <f t="shared" si="72"/>
        <v>#REF!</v>
      </c>
      <c r="J419" s="5">
        <f>J420+J421+J422+J423+J424+J425</f>
        <v>140358.00999999998</v>
      </c>
      <c r="K419" s="120">
        <f t="shared" si="66"/>
        <v>0.5270192857316591</v>
      </c>
      <c r="L419" s="5">
        <f>L420+L421+L422+L423+L424+L425</f>
        <v>0</v>
      </c>
      <c r="M419" s="45" t="e">
        <f>M420+M421+M422+M423+M424+#REF!+M425</f>
        <v>#REF!</v>
      </c>
      <c r="N419" s="38">
        <f t="shared" si="70"/>
        <v>0</v>
      </c>
      <c r="O419" s="67">
        <f t="shared" si="67"/>
        <v>0</v>
      </c>
      <c r="P419" s="90"/>
    </row>
    <row r="420" spans="1:16" ht="12.75">
      <c r="A420" s="134"/>
      <c r="B420" s="154"/>
      <c r="C420" s="33">
        <v>3020</v>
      </c>
      <c r="D420" s="4" t="s">
        <v>157</v>
      </c>
      <c r="E420" s="6">
        <v>15434.66</v>
      </c>
      <c r="F420" s="6">
        <v>14062</v>
      </c>
      <c r="G420" s="6">
        <v>8660.64</v>
      </c>
      <c r="H420" s="6">
        <v>8660.64</v>
      </c>
      <c r="I420" s="39">
        <f t="shared" si="72"/>
        <v>100</v>
      </c>
      <c r="J420" s="6">
        <v>8660.64</v>
      </c>
      <c r="K420" s="119">
        <f t="shared" si="66"/>
        <v>0.03251915802154104</v>
      </c>
      <c r="L420" s="29"/>
      <c r="M420" s="80"/>
      <c r="N420" s="36">
        <f t="shared" si="70"/>
        <v>0</v>
      </c>
      <c r="O420" s="35">
        <f t="shared" si="67"/>
        <v>0</v>
      </c>
      <c r="P420" s="90"/>
    </row>
    <row r="421" spans="1:16" ht="12.75">
      <c r="A421" s="134"/>
      <c r="B421" s="154"/>
      <c r="C421" s="33">
        <v>4010</v>
      </c>
      <c r="D421" s="4" t="s">
        <v>95</v>
      </c>
      <c r="E421" s="6">
        <v>171011.83</v>
      </c>
      <c r="F421" s="6">
        <v>196882</v>
      </c>
      <c r="G421" s="6">
        <v>90867.02</v>
      </c>
      <c r="H421" s="6">
        <v>90867.02</v>
      </c>
      <c r="I421" s="39">
        <f t="shared" si="72"/>
        <v>100</v>
      </c>
      <c r="J421" s="6">
        <v>90867.02</v>
      </c>
      <c r="K421" s="119">
        <f t="shared" si="66"/>
        <v>0.341189448161629</v>
      </c>
      <c r="L421" s="29"/>
      <c r="M421" s="80"/>
      <c r="N421" s="36">
        <f t="shared" si="70"/>
        <v>0</v>
      </c>
      <c r="O421" s="35">
        <f t="shared" si="67"/>
        <v>0</v>
      </c>
      <c r="P421" s="90"/>
    </row>
    <row r="422" spans="1:16" ht="12.75">
      <c r="A422" s="134"/>
      <c r="B422" s="154"/>
      <c r="C422" s="33">
        <v>4040</v>
      </c>
      <c r="D422" s="4" t="s">
        <v>158</v>
      </c>
      <c r="E422" s="6">
        <v>14336.37</v>
      </c>
      <c r="F422" s="6">
        <v>13800</v>
      </c>
      <c r="G422" s="6">
        <v>12927.15</v>
      </c>
      <c r="H422" s="6">
        <v>12927.15</v>
      </c>
      <c r="I422" s="39">
        <f t="shared" si="72"/>
        <v>100</v>
      </c>
      <c r="J422" s="6">
        <v>12927.15</v>
      </c>
      <c r="K422" s="119">
        <f t="shared" si="66"/>
        <v>0.04853914186690178</v>
      </c>
      <c r="L422" s="29"/>
      <c r="M422" s="80"/>
      <c r="N422" s="36">
        <f t="shared" si="70"/>
        <v>0</v>
      </c>
      <c r="O422" s="35">
        <f t="shared" si="67"/>
        <v>0</v>
      </c>
      <c r="P422" s="90"/>
    </row>
    <row r="423" spans="1:16" ht="12.75">
      <c r="A423" s="134"/>
      <c r="B423" s="154"/>
      <c r="C423" s="33">
        <v>4110</v>
      </c>
      <c r="D423" s="4" t="s">
        <v>84</v>
      </c>
      <c r="E423" s="6">
        <v>29289.91</v>
      </c>
      <c r="F423" s="6">
        <v>35050</v>
      </c>
      <c r="G423" s="6">
        <v>18565.31</v>
      </c>
      <c r="H423" s="6">
        <v>18565.31</v>
      </c>
      <c r="I423" s="39">
        <f t="shared" si="72"/>
        <v>100</v>
      </c>
      <c r="J423" s="6">
        <v>18565.31</v>
      </c>
      <c r="K423" s="119">
        <f t="shared" si="66"/>
        <v>0.06970942674085243</v>
      </c>
      <c r="L423" s="29"/>
      <c r="M423" s="80"/>
      <c r="N423" s="36">
        <f t="shared" si="70"/>
        <v>0</v>
      </c>
      <c r="O423" s="35">
        <f t="shared" si="67"/>
        <v>0</v>
      </c>
      <c r="P423" s="90"/>
    </row>
    <row r="424" spans="1:16" ht="12.75">
      <c r="A424" s="134"/>
      <c r="B424" s="154"/>
      <c r="C424" s="33">
        <v>4120</v>
      </c>
      <c r="D424" s="4" t="s">
        <v>106</v>
      </c>
      <c r="E424" s="6">
        <v>2855.04</v>
      </c>
      <c r="F424" s="6">
        <v>5686</v>
      </c>
      <c r="G424" s="6">
        <v>1542.93</v>
      </c>
      <c r="H424" s="6">
        <v>1542.93</v>
      </c>
      <c r="I424" s="39">
        <f t="shared" si="72"/>
        <v>100</v>
      </c>
      <c r="J424" s="6">
        <v>1542.93</v>
      </c>
      <c r="K424" s="119">
        <f t="shared" si="66"/>
        <v>0.005793426869859077</v>
      </c>
      <c r="L424" s="29"/>
      <c r="M424" s="80"/>
      <c r="N424" s="36">
        <f t="shared" si="70"/>
        <v>0</v>
      </c>
      <c r="O424" s="35">
        <f t="shared" si="67"/>
        <v>0</v>
      </c>
      <c r="P424" s="90"/>
    </row>
    <row r="425" spans="1:16" ht="12.75">
      <c r="A425" s="134"/>
      <c r="B425" s="154"/>
      <c r="C425" s="33">
        <v>4440</v>
      </c>
      <c r="D425" s="4" t="s">
        <v>161</v>
      </c>
      <c r="E425" s="6">
        <v>14884</v>
      </c>
      <c r="F425" s="6">
        <v>8813</v>
      </c>
      <c r="G425" s="6">
        <v>7794.96</v>
      </c>
      <c r="H425" s="6">
        <v>7794.96</v>
      </c>
      <c r="I425" s="39">
        <f t="shared" si="72"/>
        <v>100</v>
      </c>
      <c r="J425" s="6">
        <v>7794.96</v>
      </c>
      <c r="K425" s="119">
        <f t="shared" si="66"/>
        <v>0.029268684070876006</v>
      </c>
      <c r="L425" s="29"/>
      <c r="M425" s="80"/>
      <c r="N425" s="36">
        <f t="shared" si="70"/>
        <v>0</v>
      </c>
      <c r="O425" s="35">
        <f t="shared" si="67"/>
        <v>0</v>
      </c>
      <c r="P425" s="90"/>
    </row>
    <row r="426" spans="1:16" ht="12.75">
      <c r="A426" s="134"/>
      <c r="B426" s="164">
        <v>80130</v>
      </c>
      <c r="C426" s="50"/>
      <c r="D426" s="3" t="s">
        <v>23</v>
      </c>
      <c r="E426" s="5">
        <f aca="true" t="shared" si="73" ref="E426:M426">SUM(E428:E465)</f>
        <v>684229.4299999999</v>
      </c>
      <c r="F426" s="5">
        <f t="shared" si="73"/>
        <v>2269764.81</v>
      </c>
      <c r="G426" s="5">
        <f t="shared" si="73"/>
        <v>2505426.3</v>
      </c>
      <c r="H426" s="5">
        <f t="shared" si="73"/>
        <v>1496308.4600000002</v>
      </c>
      <c r="I426" s="5">
        <f t="shared" si="73"/>
        <v>1061.7083024607614</v>
      </c>
      <c r="J426" s="5">
        <f t="shared" si="73"/>
        <v>2488334.5</v>
      </c>
      <c r="K426" s="120">
        <f t="shared" si="66"/>
        <v>9.343252094066063</v>
      </c>
      <c r="L426" s="5">
        <f t="shared" si="73"/>
        <v>736149.7</v>
      </c>
      <c r="M426" s="45">
        <f t="shared" si="73"/>
        <v>0</v>
      </c>
      <c r="N426" s="38">
        <f t="shared" si="70"/>
        <v>29.58403301485391</v>
      </c>
      <c r="O426" s="67">
        <f t="shared" si="67"/>
        <v>2.968066172548421</v>
      </c>
      <c r="P426" s="90"/>
    </row>
    <row r="427" spans="1:16" ht="12.75">
      <c r="A427" s="134"/>
      <c r="B427" s="145"/>
      <c r="C427" s="50"/>
      <c r="D427" s="3" t="s">
        <v>245</v>
      </c>
      <c r="E427" s="5">
        <f>E461+E462</f>
        <v>337792.1</v>
      </c>
      <c r="F427" s="5">
        <f>F461+F462</f>
        <v>1928620.81</v>
      </c>
      <c r="G427" s="5">
        <f>G461+G462</f>
        <v>1983620.81</v>
      </c>
      <c r="H427" s="5">
        <f>H461+H462</f>
        <v>1233829.6500000001</v>
      </c>
      <c r="I427" s="39">
        <f>(H427/G427)*100</f>
        <v>62.20088253661748</v>
      </c>
      <c r="J427" s="5">
        <f>J461+J462</f>
        <v>1983621</v>
      </c>
      <c r="K427" s="120">
        <f t="shared" si="66"/>
        <v>7.448142949464158</v>
      </c>
      <c r="L427" s="5">
        <f>L461+L462+L463+L464+L465</f>
        <v>17000</v>
      </c>
      <c r="M427" s="45">
        <f>M461+M462</f>
        <v>0</v>
      </c>
      <c r="N427" s="36"/>
      <c r="O427" s="35">
        <f t="shared" si="67"/>
        <v>0.06854193506201682</v>
      </c>
      <c r="P427" s="90"/>
    </row>
    <row r="428" spans="1:16" ht="12.75">
      <c r="A428" s="134"/>
      <c r="B428" s="130"/>
      <c r="C428" s="33">
        <v>3020</v>
      </c>
      <c r="D428" s="4" t="s">
        <v>157</v>
      </c>
      <c r="E428" s="6">
        <v>10690.61</v>
      </c>
      <c r="F428" s="6">
        <v>9706</v>
      </c>
      <c r="G428" s="6">
        <v>9706</v>
      </c>
      <c r="H428" s="6">
        <v>5912.07</v>
      </c>
      <c r="I428" s="39">
        <f>(H428/G428)*100</f>
        <v>60.91149804244797</v>
      </c>
      <c r="J428" s="6">
        <v>8814</v>
      </c>
      <c r="K428" s="119">
        <f t="shared" si="66"/>
        <v>0.033094997459987105</v>
      </c>
      <c r="L428" s="29">
        <v>7449</v>
      </c>
      <c r="M428" s="80"/>
      <c r="N428" s="36">
        <f>(L428/J428)*100</f>
        <v>84.51327433628319</v>
      </c>
      <c r="O428" s="35">
        <f t="shared" si="67"/>
        <v>0.03003346319276255</v>
      </c>
      <c r="P428" s="90"/>
    </row>
    <row r="429" spans="1:16" ht="12.75">
      <c r="A429" s="134"/>
      <c r="B429" s="130"/>
      <c r="C429" s="33">
        <v>4010</v>
      </c>
      <c r="D429" s="4" t="s">
        <v>95</v>
      </c>
      <c r="E429" s="6">
        <v>203443.66</v>
      </c>
      <c r="F429" s="6">
        <v>195769</v>
      </c>
      <c r="G429" s="6">
        <v>195769</v>
      </c>
      <c r="H429" s="6">
        <v>137181.86</v>
      </c>
      <c r="I429" s="39">
        <f>(H429/G429)*100</f>
        <v>70.07333132416265</v>
      </c>
      <c r="J429" s="6">
        <v>189000</v>
      </c>
      <c r="K429" s="119">
        <f t="shared" si="66"/>
        <v>0.709661279775081</v>
      </c>
      <c r="L429" s="29">
        <v>163650</v>
      </c>
      <c r="M429" s="80"/>
      <c r="N429" s="36">
        <f>(L429/J429)*100</f>
        <v>86.5873015873016</v>
      </c>
      <c r="O429" s="35">
        <f t="shared" si="67"/>
        <v>0.6598169219352384</v>
      </c>
      <c r="P429" s="90"/>
    </row>
    <row r="430" spans="1:16" ht="12.75">
      <c r="A430" s="134"/>
      <c r="B430" s="130"/>
      <c r="C430" s="33">
        <v>4017</v>
      </c>
      <c r="D430" s="4" t="s">
        <v>95</v>
      </c>
      <c r="E430" s="6"/>
      <c r="F430" s="6"/>
      <c r="G430" s="6">
        <v>10498.35</v>
      </c>
      <c r="H430" s="6"/>
      <c r="I430" s="39"/>
      <c r="J430" s="6">
        <v>10498.35</v>
      </c>
      <c r="K430" s="119">
        <f t="shared" si="66"/>
        <v>0.03941943119855408</v>
      </c>
      <c r="L430" s="29">
        <v>78566.3</v>
      </c>
      <c r="M430" s="80"/>
      <c r="N430" s="36"/>
      <c r="O430" s="35">
        <f t="shared" si="67"/>
        <v>0.3167697783919372</v>
      </c>
      <c r="P430" s="90"/>
    </row>
    <row r="431" spans="1:16" ht="12.75">
      <c r="A431" s="134"/>
      <c r="B431" s="130"/>
      <c r="C431" s="33">
        <v>4019</v>
      </c>
      <c r="D431" s="4" t="s">
        <v>95</v>
      </c>
      <c r="E431" s="6"/>
      <c r="F431" s="6"/>
      <c r="G431" s="6">
        <v>1852.65</v>
      </c>
      <c r="H431" s="6"/>
      <c r="I431" s="39"/>
      <c r="J431" s="6">
        <v>1852.65</v>
      </c>
      <c r="K431" s="119">
        <f t="shared" si="66"/>
        <v>0.006956370211509543</v>
      </c>
      <c r="L431" s="29">
        <v>13864.64</v>
      </c>
      <c r="M431" s="80"/>
      <c r="N431" s="36"/>
      <c r="O431" s="35">
        <f t="shared" si="67"/>
        <v>0.05590054438460241</v>
      </c>
      <c r="P431" s="90"/>
    </row>
    <row r="432" spans="1:16" ht="12.75">
      <c r="A432" s="134"/>
      <c r="B432" s="130"/>
      <c r="C432" s="33">
        <v>4040</v>
      </c>
      <c r="D432" s="4" t="s">
        <v>158</v>
      </c>
      <c r="E432" s="6">
        <v>18916.8</v>
      </c>
      <c r="F432" s="6">
        <v>16350</v>
      </c>
      <c r="G432" s="6">
        <v>16350</v>
      </c>
      <c r="H432" s="6">
        <v>16156.78</v>
      </c>
      <c r="I432" s="39">
        <f>(H432/G432)*100</f>
        <v>98.81822629969419</v>
      </c>
      <c r="J432" s="6">
        <v>16157</v>
      </c>
      <c r="K432" s="119">
        <f t="shared" si="66"/>
        <v>0.06066665236680414</v>
      </c>
      <c r="L432" s="29">
        <v>22230</v>
      </c>
      <c r="M432" s="80"/>
      <c r="N432" s="36">
        <f>(L432/J432)*100</f>
        <v>137.58742340781086</v>
      </c>
      <c r="O432" s="35">
        <f t="shared" si="67"/>
        <v>0.08962865978991964</v>
      </c>
      <c r="P432" s="90"/>
    </row>
    <row r="433" spans="1:16" ht="12.75">
      <c r="A433" s="134"/>
      <c r="B433" s="130"/>
      <c r="C433" s="33">
        <v>4110</v>
      </c>
      <c r="D433" s="4" t="s">
        <v>84</v>
      </c>
      <c r="E433" s="6">
        <v>34468.05</v>
      </c>
      <c r="F433" s="6">
        <v>32920</v>
      </c>
      <c r="G433" s="6">
        <v>36917</v>
      </c>
      <c r="H433" s="6">
        <v>24231.99</v>
      </c>
      <c r="I433" s="39">
        <f>(H433/G433)*100</f>
        <v>65.63910935341441</v>
      </c>
      <c r="J433" s="6">
        <v>32200</v>
      </c>
      <c r="K433" s="119">
        <f t="shared" si="66"/>
        <v>0.12090525507279157</v>
      </c>
      <c r="L433" s="29">
        <v>32760</v>
      </c>
      <c r="M433" s="80"/>
      <c r="N433" s="36">
        <f>(L433/J433)*100</f>
        <v>101.7391304347826</v>
      </c>
      <c r="O433" s="35">
        <f t="shared" si="67"/>
        <v>0.13208434074303946</v>
      </c>
      <c r="P433" s="90"/>
    </row>
    <row r="434" spans="1:16" ht="12.75">
      <c r="A434" s="134"/>
      <c r="B434" s="130"/>
      <c r="C434" s="33">
        <v>4117</v>
      </c>
      <c r="D434" s="4" t="s">
        <v>84</v>
      </c>
      <c r="E434" s="6"/>
      <c r="F434" s="6"/>
      <c r="G434" s="6">
        <v>1820.7</v>
      </c>
      <c r="H434" s="6"/>
      <c r="I434" s="39"/>
      <c r="J434" s="6">
        <v>1820.7</v>
      </c>
      <c r="K434" s="119">
        <f t="shared" si="66"/>
        <v>0.00683640366183328</v>
      </c>
      <c r="L434" s="29">
        <v>13654.82</v>
      </c>
      <c r="M434" s="80"/>
      <c r="N434" s="36"/>
      <c r="O434" s="35">
        <f t="shared" si="67"/>
        <v>0.05505457563079579</v>
      </c>
      <c r="P434" s="90"/>
    </row>
    <row r="435" spans="1:16" ht="12.75">
      <c r="A435" s="134"/>
      <c r="B435" s="130"/>
      <c r="C435" s="33">
        <v>4119</v>
      </c>
      <c r="D435" s="4" t="s">
        <v>84</v>
      </c>
      <c r="E435" s="6"/>
      <c r="F435" s="6"/>
      <c r="G435" s="6">
        <v>321.3</v>
      </c>
      <c r="H435" s="6"/>
      <c r="I435" s="39"/>
      <c r="J435" s="6">
        <v>321.3</v>
      </c>
      <c r="K435" s="119">
        <f t="shared" si="66"/>
        <v>0.0012064241756176376</v>
      </c>
      <c r="L435" s="29">
        <v>2409.68</v>
      </c>
      <c r="M435" s="80"/>
      <c r="N435" s="36"/>
      <c r="O435" s="35">
        <f t="shared" si="67"/>
        <v>0.00971553706354357</v>
      </c>
      <c r="P435" s="90"/>
    </row>
    <row r="436" spans="1:16" ht="12.75">
      <c r="A436" s="134"/>
      <c r="B436" s="130"/>
      <c r="C436" s="33">
        <v>4120</v>
      </c>
      <c r="D436" s="4" t="s">
        <v>106</v>
      </c>
      <c r="E436" s="6">
        <v>2977.49</v>
      </c>
      <c r="F436" s="6">
        <v>5340</v>
      </c>
      <c r="G436" s="6">
        <v>5340</v>
      </c>
      <c r="H436" s="6">
        <v>1711.5</v>
      </c>
      <c r="I436" s="39">
        <f>(H436/G436)*100</f>
        <v>32.050561797752806</v>
      </c>
      <c r="J436" s="6">
        <v>2500</v>
      </c>
      <c r="K436" s="119">
        <f t="shared" si="66"/>
        <v>0.00938705396527885</v>
      </c>
      <c r="L436" s="29">
        <v>4694</v>
      </c>
      <c r="M436" s="80"/>
      <c r="N436" s="36">
        <f>(L436/J436)*100</f>
        <v>187.76</v>
      </c>
      <c r="O436" s="35">
        <f t="shared" si="67"/>
        <v>0.018925637834182763</v>
      </c>
      <c r="P436" s="90"/>
    </row>
    <row r="437" spans="1:16" ht="12.75">
      <c r="A437" s="134"/>
      <c r="B437" s="130"/>
      <c r="C437" s="33">
        <v>4127</v>
      </c>
      <c r="D437" s="4" t="s">
        <v>106</v>
      </c>
      <c r="E437" s="6"/>
      <c r="F437" s="6"/>
      <c r="G437" s="6">
        <v>260.95</v>
      </c>
      <c r="H437" s="6"/>
      <c r="I437" s="39"/>
      <c r="J437" s="6">
        <v>260.95</v>
      </c>
      <c r="K437" s="119">
        <f t="shared" si="66"/>
        <v>0.000979820692895806</v>
      </c>
      <c r="L437" s="29">
        <v>1924.88</v>
      </c>
      <c r="M437" s="80"/>
      <c r="N437" s="36"/>
      <c r="O437" s="35">
        <f t="shared" si="67"/>
        <v>0.007760882350716173</v>
      </c>
      <c r="P437" s="90"/>
    </row>
    <row r="438" spans="1:16" ht="12.75">
      <c r="A438" s="134"/>
      <c r="B438" s="130"/>
      <c r="C438" s="33">
        <v>4129</v>
      </c>
      <c r="D438" s="4" t="s">
        <v>106</v>
      </c>
      <c r="E438" s="6"/>
      <c r="F438" s="6"/>
      <c r="G438" s="6">
        <v>46.05</v>
      </c>
      <c r="H438" s="6"/>
      <c r="I438" s="39"/>
      <c r="J438" s="6">
        <v>46.05</v>
      </c>
      <c r="K438" s="119">
        <f t="shared" si="66"/>
        <v>0.00017290953404043637</v>
      </c>
      <c r="L438" s="29">
        <v>339.68</v>
      </c>
      <c r="M438" s="80"/>
      <c r="N438" s="36"/>
      <c r="O438" s="35">
        <f t="shared" si="67"/>
        <v>0.0013695485001097574</v>
      </c>
      <c r="P438" s="90"/>
    </row>
    <row r="439" spans="1:16" ht="12.75">
      <c r="A439" s="134"/>
      <c r="B439" s="130"/>
      <c r="C439" s="33">
        <v>4170</v>
      </c>
      <c r="D439" s="4" t="s">
        <v>86</v>
      </c>
      <c r="E439" s="6"/>
      <c r="F439" s="6">
        <v>700</v>
      </c>
      <c r="G439" s="6">
        <v>3700</v>
      </c>
      <c r="H439" s="6">
        <v>3000</v>
      </c>
      <c r="I439" s="39">
        <f>(H439/G439)*100</f>
        <v>81.08108108108108</v>
      </c>
      <c r="J439" s="6">
        <v>3000</v>
      </c>
      <c r="K439" s="119">
        <f t="shared" si="66"/>
        <v>0.011264464758334617</v>
      </c>
      <c r="L439" s="29">
        <v>3000</v>
      </c>
      <c r="M439" s="80"/>
      <c r="N439" s="36">
        <f>(L439/J439)*100</f>
        <v>100</v>
      </c>
      <c r="O439" s="35">
        <f t="shared" si="67"/>
        <v>0.012095635599179439</v>
      </c>
      <c r="P439" s="90"/>
    </row>
    <row r="440" spans="1:16" ht="12.75">
      <c r="A440" s="134"/>
      <c r="B440" s="130"/>
      <c r="C440" s="33">
        <v>4177</v>
      </c>
      <c r="D440" s="4" t="s">
        <v>86</v>
      </c>
      <c r="E440" s="6"/>
      <c r="F440" s="6"/>
      <c r="G440" s="6">
        <v>3978</v>
      </c>
      <c r="H440" s="6"/>
      <c r="I440" s="39"/>
      <c r="J440" s="6">
        <v>3978</v>
      </c>
      <c r="K440" s="119">
        <f t="shared" si="66"/>
        <v>0.014936680269551703</v>
      </c>
      <c r="L440" s="29">
        <v>65849.5</v>
      </c>
      <c r="M440" s="80"/>
      <c r="N440" s="36"/>
      <c r="O440" s="35">
        <f t="shared" si="67"/>
        <v>0.26549718546272216</v>
      </c>
      <c r="P440" s="90"/>
    </row>
    <row r="441" spans="1:16" ht="12.75">
      <c r="A441" s="134"/>
      <c r="B441" s="130"/>
      <c r="C441" s="33">
        <v>4179</v>
      </c>
      <c r="D441" s="4" t="s">
        <v>86</v>
      </c>
      <c r="E441" s="6"/>
      <c r="F441" s="6"/>
      <c r="G441" s="6">
        <v>4360</v>
      </c>
      <c r="H441" s="6"/>
      <c r="I441" s="39"/>
      <c r="J441" s="6">
        <v>702</v>
      </c>
      <c r="K441" s="119">
        <f t="shared" si="66"/>
        <v>0.0026358847534503006</v>
      </c>
      <c r="L441" s="29">
        <v>11620.5</v>
      </c>
      <c r="M441" s="80"/>
      <c r="N441" s="36"/>
      <c r="O441" s="35">
        <f t="shared" si="67"/>
        <v>0.046852444493421554</v>
      </c>
      <c r="P441" s="90"/>
    </row>
    <row r="442" spans="1:16" ht="12.75">
      <c r="A442" s="134"/>
      <c r="B442" s="130"/>
      <c r="C442" s="33">
        <v>4210</v>
      </c>
      <c r="D442" s="4" t="s">
        <v>74</v>
      </c>
      <c r="E442" s="6">
        <v>14941.9</v>
      </c>
      <c r="F442" s="6">
        <v>23500</v>
      </c>
      <c r="G442" s="6">
        <v>28803.99</v>
      </c>
      <c r="H442" s="6">
        <v>12298.97</v>
      </c>
      <c r="I442" s="39">
        <f>(H442/G442)*100</f>
        <v>42.698841375795496</v>
      </c>
      <c r="J442" s="6">
        <v>25000</v>
      </c>
      <c r="K442" s="119">
        <f t="shared" si="66"/>
        <v>0.09387053965278848</v>
      </c>
      <c r="L442" s="29">
        <v>62700</v>
      </c>
      <c r="M442" s="80"/>
      <c r="N442" s="36">
        <f>(L442/J442)*100</f>
        <v>250.8</v>
      </c>
      <c r="O442" s="35">
        <f t="shared" si="67"/>
        <v>0.2527987840228503</v>
      </c>
      <c r="P442" s="90"/>
    </row>
    <row r="443" spans="1:16" ht="12.75">
      <c r="A443" s="134"/>
      <c r="B443" s="130"/>
      <c r="C443" s="33">
        <v>4217</v>
      </c>
      <c r="D443" s="4" t="s">
        <v>74</v>
      </c>
      <c r="E443" s="6"/>
      <c r="F443" s="6"/>
      <c r="G443" s="6">
        <v>17427.13</v>
      </c>
      <c r="H443" s="6"/>
      <c r="I443" s="39"/>
      <c r="J443" s="6">
        <v>17427.13</v>
      </c>
      <c r="K443" s="119">
        <f t="shared" si="66"/>
        <v>0.065435763907972</v>
      </c>
      <c r="L443" s="29">
        <v>30975.71</v>
      </c>
      <c r="M443" s="80"/>
      <c r="N443" s="36"/>
      <c r="O443" s="35">
        <f t="shared" si="67"/>
        <v>0.12489030019528617</v>
      </c>
      <c r="P443" s="90"/>
    </row>
    <row r="444" spans="1:16" ht="12.75">
      <c r="A444" s="134"/>
      <c r="B444" s="130"/>
      <c r="C444" s="33">
        <v>4219</v>
      </c>
      <c r="D444" s="4" t="s">
        <v>74</v>
      </c>
      <c r="E444" s="6"/>
      <c r="F444" s="6"/>
      <c r="G444" s="6">
        <v>3075.37</v>
      </c>
      <c r="H444" s="6"/>
      <c r="I444" s="39"/>
      <c r="J444" s="6">
        <v>3075.37</v>
      </c>
      <c r="K444" s="119">
        <f t="shared" si="66"/>
        <v>0.011547465661279843</v>
      </c>
      <c r="L444" s="29">
        <v>5466.29</v>
      </c>
      <c r="M444" s="80"/>
      <c r="N444" s="36"/>
      <c r="O444" s="35">
        <f t="shared" si="67"/>
        <v>0.022039417306479524</v>
      </c>
      <c r="P444" s="90"/>
    </row>
    <row r="445" spans="1:16" ht="12.75">
      <c r="A445" s="134"/>
      <c r="B445" s="130"/>
      <c r="C445" s="33">
        <v>4240</v>
      </c>
      <c r="D445" s="4" t="s">
        <v>160</v>
      </c>
      <c r="E445" s="6">
        <v>1055.3</v>
      </c>
      <c r="F445" s="6">
        <v>1000</v>
      </c>
      <c r="G445" s="6">
        <v>1000</v>
      </c>
      <c r="H445" s="6"/>
      <c r="I445" s="39">
        <f aca="true" t="shared" si="74" ref="I445:I455">(H445/G445)*100</f>
        <v>0</v>
      </c>
      <c r="J445" s="6"/>
      <c r="K445" s="119">
        <f t="shared" si="66"/>
        <v>0</v>
      </c>
      <c r="L445" s="29">
        <v>13794.3</v>
      </c>
      <c r="M445" s="80"/>
      <c r="N445" s="36"/>
      <c r="O445" s="35">
        <f t="shared" si="67"/>
        <v>0.05561694204858698</v>
      </c>
      <c r="P445" s="90"/>
    </row>
    <row r="446" spans="1:16" ht="12.75">
      <c r="A446" s="134"/>
      <c r="B446" s="130"/>
      <c r="C446" s="33">
        <v>4247</v>
      </c>
      <c r="D446" s="4" t="s">
        <v>160</v>
      </c>
      <c r="E446" s="6"/>
      <c r="F446" s="6"/>
      <c r="G446" s="6">
        <v>62050</v>
      </c>
      <c r="H446" s="6"/>
      <c r="I446" s="39">
        <f t="shared" si="74"/>
        <v>0</v>
      </c>
      <c r="J446" s="6">
        <v>62050</v>
      </c>
      <c r="K446" s="119">
        <f t="shared" si="66"/>
        <v>0.232986679418221</v>
      </c>
      <c r="L446" s="29">
        <v>24399.85</v>
      </c>
      <c r="M446" s="80"/>
      <c r="N446" s="36">
        <f aca="true" t="shared" si="75" ref="N446:N455">(L446/J446)*100</f>
        <v>39.3228847703465</v>
      </c>
      <c r="O446" s="35">
        <f t="shared" si="67"/>
        <v>0.09837723142487947</v>
      </c>
      <c r="P446" s="90"/>
    </row>
    <row r="447" spans="1:16" ht="12.75">
      <c r="A447" s="134"/>
      <c r="B447" s="130"/>
      <c r="C447" s="33">
        <v>4249</v>
      </c>
      <c r="D447" s="4" t="s">
        <v>160</v>
      </c>
      <c r="E447" s="6"/>
      <c r="F447" s="6"/>
      <c r="G447" s="6">
        <v>10950</v>
      </c>
      <c r="H447" s="6"/>
      <c r="I447" s="39">
        <f t="shared" si="74"/>
        <v>0</v>
      </c>
      <c r="J447" s="6">
        <v>10950</v>
      </c>
      <c r="K447" s="119">
        <f t="shared" si="66"/>
        <v>0.041115296367921356</v>
      </c>
      <c r="L447" s="29">
        <v>4305.85</v>
      </c>
      <c r="M447" s="80"/>
      <c r="N447" s="36">
        <f t="shared" si="75"/>
        <v>39.32283105022832</v>
      </c>
      <c r="O447" s="35">
        <f t="shared" si="67"/>
        <v>0.0173606641815756</v>
      </c>
      <c r="P447" s="90"/>
    </row>
    <row r="448" spans="1:16" ht="12.75">
      <c r="A448" s="134"/>
      <c r="B448" s="130"/>
      <c r="C448" s="33">
        <v>4260</v>
      </c>
      <c r="D448" s="4" t="s">
        <v>75</v>
      </c>
      <c r="E448" s="6">
        <v>8529.63</v>
      </c>
      <c r="F448" s="6">
        <v>9500</v>
      </c>
      <c r="G448" s="6">
        <v>13000</v>
      </c>
      <c r="H448" s="6">
        <v>12137.76</v>
      </c>
      <c r="I448" s="39">
        <f t="shared" si="74"/>
        <v>93.36738461538462</v>
      </c>
      <c r="J448" s="6">
        <v>15000</v>
      </c>
      <c r="K448" s="119">
        <f t="shared" si="66"/>
        <v>0.05632232379167309</v>
      </c>
      <c r="L448" s="29">
        <v>13500</v>
      </c>
      <c r="M448" s="80"/>
      <c r="N448" s="36">
        <f t="shared" si="75"/>
        <v>90</v>
      </c>
      <c r="O448" s="35">
        <f t="shared" si="67"/>
        <v>0.054430360196307474</v>
      </c>
      <c r="P448" s="90"/>
    </row>
    <row r="449" spans="1:16" ht="12.75">
      <c r="A449" s="134"/>
      <c r="B449" s="130"/>
      <c r="C449" s="33">
        <v>4270</v>
      </c>
      <c r="D449" s="4" t="s">
        <v>77</v>
      </c>
      <c r="E449" s="6">
        <v>965.55</v>
      </c>
      <c r="F449" s="6">
        <v>1500</v>
      </c>
      <c r="G449" s="6">
        <v>1500</v>
      </c>
      <c r="H449" s="6">
        <v>123</v>
      </c>
      <c r="I449" s="39">
        <f t="shared" si="74"/>
        <v>8.200000000000001</v>
      </c>
      <c r="J449" s="6">
        <v>500</v>
      </c>
      <c r="K449" s="119">
        <f t="shared" si="66"/>
        <v>0.0018774107930557696</v>
      </c>
      <c r="L449" s="29">
        <v>5000</v>
      </c>
      <c r="M449" s="80"/>
      <c r="N449" s="36">
        <f t="shared" si="75"/>
        <v>1000</v>
      </c>
      <c r="O449" s="35">
        <f t="shared" si="67"/>
        <v>0.020159392665299068</v>
      </c>
      <c r="P449" s="90"/>
    </row>
    <row r="450" spans="1:16" ht="12.75">
      <c r="A450" s="134"/>
      <c r="B450" s="130"/>
      <c r="C450" s="33">
        <v>4280</v>
      </c>
      <c r="D450" s="4" t="s">
        <v>91</v>
      </c>
      <c r="E450" s="6">
        <v>1240</v>
      </c>
      <c r="F450" s="6">
        <v>1300</v>
      </c>
      <c r="G450" s="6">
        <v>1300</v>
      </c>
      <c r="H450" s="6"/>
      <c r="I450" s="39">
        <f t="shared" si="74"/>
        <v>0</v>
      </c>
      <c r="J450" s="6">
        <v>1200</v>
      </c>
      <c r="K450" s="119">
        <f t="shared" si="66"/>
        <v>0.004505785903333847</v>
      </c>
      <c r="L450" s="29">
        <v>1300</v>
      </c>
      <c r="M450" s="80"/>
      <c r="N450" s="36">
        <f t="shared" si="75"/>
        <v>108.33333333333333</v>
      </c>
      <c r="O450" s="35">
        <f t="shared" si="67"/>
        <v>0.005241442092977757</v>
      </c>
      <c r="P450" s="90"/>
    </row>
    <row r="451" spans="1:16" ht="12.75">
      <c r="A451" s="134"/>
      <c r="B451" s="130"/>
      <c r="C451" s="33">
        <v>4300</v>
      </c>
      <c r="D451" s="4" t="s">
        <v>87</v>
      </c>
      <c r="E451" s="6">
        <v>31971.12</v>
      </c>
      <c r="F451" s="6">
        <v>24500</v>
      </c>
      <c r="G451" s="6">
        <v>49500</v>
      </c>
      <c r="H451" s="6">
        <v>35958.03</v>
      </c>
      <c r="I451" s="39">
        <f t="shared" si="74"/>
        <v>72.64248484848484</v>
      </c>
      <c r="J451" s="6">
        <v>59400</v>
      </c>
      <c r="K451" s="119">
        <f t="shared" si="66"/>
        <v>0.2230364022150254</v>
      </c>
      <c r="L451" s="29">
        <v>35990</v>
      </c>
      <c r="M451" s="80"/>
      <c r="N451" s="36">
        <f t="shared" si="75"/>
        <v>60.58922558922559</v>
      </c>
      <c r="O451" s="35">
        <f t="shared" si="67"/>
        <v>0.14510730840482267</v>
      </c>
      <c r="P451" s="90"/>
    </row>
    <row r="452" spans="1:16" ht="12.75">
      <c r="A452" s="134"/>
      <c r="B452" s="130"/>
      <c r="C452" s="33">
        <v>4307</v>
      </c>
      <c r="D452" s="4" t="s">
        <v>87</v>
      </c>
      <c r="E452" s="6"/>
      <c r="F452" s="6"/>
      <c r="G452" s="6">
        <v>9537</v>
      </c>
      <c r="H452" s="6"/>
      <c r="I452" s="39">
        <f t="shared" si="74"/>
        <v>0</v>
      </c>
      <c r="J452" s="6">
        <v>9537</v>
      </c>
      <c r="K452" s="119">
        <f t="shared" si="66"/>
        <v>0.03580973346674575</v>
      </c>
      <c r="L452" s="29">
        <v>79054</v>
      </c>
      <c r="M452" s="80"/>
      <c r="N452" s="36">
        <f t="shared" si="75"/>
        <v>828.9189472580476</v>
      </c>
      <c r="O452" s="35">
        <f t="shared" si="67"/>
        <v>0.31873612555251046</v>
      </c>
      <c r="P452" s="90"/>
    </row>
    <row r="453" spans="1:16" ht="12.75">
      <c r="A453" s="134"/>
      <c r="B453" s="130"/>
      <c r="C453" s="33">
        <v>4309</v>
      </c>
      <c r="D453" s="4" t="s">
        <v>87</v>
      </c>
      <c r="E453" s="6"/>
      <c r="F453" s="6"/>
      <c r="G453" s="6">
        <v>1683</v>
      </c>
      <c r="H453" s="6"/>
      <c r="I453" s="39">
        <f t="shared" si="74"/>
        <v>0</v>
      </c>
      <c r="J453" s="6">
        <v>1683</v>
      </c>
      <c r="K453" s="119">
        <f aca="true" t="shared" si="76" ref="K453:K516">(J453/$J$769)*100</f>
        <v>0.00631936472942572</v>
      </c>
      <c r="L453" s="29">
        <v>13950.7</v>
      </c>
      <c r="M453" s="80"/>
      <c r="N453" s="36">
        <f t="shared" si="75"/>
        <v>828.9185977421273</v>
      </c>
      <c r="O453" s="35">
        <f aca="true" t="shared" si="77" ref="O453:O516">L453/$L$769*100</f>
        <v>0.05624752785115753</v>
      </c>
      <c r="P453" s="90"/>
    </row>
    <row r="454" spans="1:16" ht="12.75">
      <c r="A454" s="134"/>
      <c r="B454" s="130"/>
      <c r="C454" s="33">
        <v>4350</v>
      </c>
      <c r="D454" s="4" t="s">
        <v>133</v>
      </c>
      <c r="E454" s="6">
        <v>1215.24</v>
      </c>
      <c r="F454" s="6">
        <v>1500</v>
      </c>
      <c r="G454" s="6">
        <v>1500</v>
      </c>
      <c r="H454" s="6">
        <v>1107.58</v>
      </c>
      <c r="I454" s="39">
        <f t="shared" si="74"/>
        <v>73.83866666666667</v>
      </c>
      <c r="J454" s="6">
        <v>1500</v>
      </c>
      <c r="K454" s="119">
        <f t="shared" si="76"/>
        <v>0.005632232379167309</v>
      </c>
      <c r="L454" s="29">
        <v>1500</v>
      </c>
      <c r="M454" s="80"/>
      <c r="N454" s="36">
        <f t="shared" si="75"/>
        <v>100</v>
      </c>
      <c r="O454" s="35">
        <f t="shared" si="77"/>
        <v>0.0060478177995897196</v>
      </c>
      <c r="P454" s="90"/>
    </row>
    <row r="455" spans="1:16" ht="25.5" customHeight="1">
      <c r="A455" s="134"/>
      <c r="B455" s="130"/>
      <c r="C455" s="33">
        <v>4370</v>
      </c>
      <c r="D455" s="4" t="s">
        <v>150</v>
      </c>
      <c r="E455" s="6">
        <v>1909.17</v>
      </c>
      <c r="F455" s="6">
        <v>2000</v>
      </c>
      <c r="G455" s="6">
        <v>2000</v>
      </c>
      <c r="H455" s="6">
        <v>1281.81</v>
      </c>
      <c r="I455" s="39">
        <f t="shared" si="74"/>
        <v>64.09049999999999</v>
      </c>
      <c r="J455" s="6">
        <v>1700</v>
      </c>
      <c r="K455" s="119">
        <f t="shared" si="76"/>
        <v>0.006383196696389617</v>
      </c>
      <c r="L455" s="29">
        <v>1800</v>
      </c>
      <c r="M455" s="80"/>
      <c r="N455" s="36">
        <f t="shared" si="75"/>
        <v>105.88235294117648</v>
      </c>
      <c r="O455" s="35">
        <f t="shared" si="77"/>
        <v>0.007257381359507663</v>
      </c>
      <c r="P455" s="90"/>
    </row>
    <row r="456" spans="1:16" ht="12.75">
      <c r="A456" s="134"/>
      <c r="B456" s="130"/>
      <c r="C456" s="33">
        <v>4410</v>
      </c>
      <c r="D456" s="4" t="s">
        <v>163</v>
      </c>
      <c r="E456" s="6">
        <v>738.46</v>
      </c>
      <c r="F456" s="6">
        <v>2000</v>
      </c>
      <c r="G456" s="6">
        <v>2000</v>
      </c>
      <c r="H456" s="6">
        <v>429.72</v>
      </c>
      <c r="I456" s="39">
        <f aca="true" t="shared" si="78" ref="I456:I462">(H456/G456)*100</f>
        <v>21.486</v>
      </c>
      <c r="J456" s="6">
        <v>1000</v>
      </c>
      <c r="K456" s="119">
        <f t="shared" si="76"/>
        <v>0.0037548215861115393</v>
      </c>
      <c r="L456" s="29">
        <v>1200</v>
      </c>
      <c r="M456" s="80"/>
      <c r="N456" s="36">
        <f>(L456/J456)*100</f>
        <v>120</v>
      </c>
      <c r="O456" s="35">
        <f t="shared" si="77"/>
        <v>0.004838254239671776</v>
      </c>
      <c r="P456" s="90"/>
    </row>
    <row r="457" spans="1:16" ht="12.75">
      <c r="A457" s="134"/>
      <c r="B457" s="130"/>
      <c r="C457" s="33">
        <v>4430</v>
      </c>
      <c r="D457" s="4" t="s">
        <v>88</v>
      </c>
      <c r="E457" s="6">
        <v>431</v>
      </c>
      <c r="F457" s="6">
        <v>600</v>
      </c>
      <c r="G457" s="6">
        <v>600</v>
      </c>
      <c r="H457" s="6">
        <v>458</v>
      </c>
      <c r="I457" s="39">
        <f t="shared" si="78"/>
        <v>76.33333333333333</v>
      </c>
      <c r="J457" s="6">
        <v>650</v>
      </c>
      <c r="K457" s="119">
        <f t="shared" si="76"/>
        <v>0.0024406340309725003</v>
      </c>
      <c r="L457" s="29">
        <v>700</v>
      </c>
      <c r="M457" s="80"/>
      <c r="N457" s="36">
        <f>(L457/J457)*100</f>
        <v>107.6923076923077</v>
      </c>
      <c r="O457" s="35">
        <f t="shared" si="77"/>
        <v>0.002822314973141869</v>
      </c>
      <c r="P457" s="90"/>
    </row>
    <row r="458" spans="1:16" ht="12.75">
      <c r="A458" s="134"/>
      <c r="B458" s="130"/>
      <c r="C458" s="33">
        <v>4440</v>
      </c>
      <c r="D458" s="4" t="s">
        <v>161</v>
      </c>
      <c r="E458" s="6">
        <v>12943.35</v>
      </c>
      <c r="F458" s="6">
        <v>12059</v>
      </c>
      <c r="G458" s="6">
        <v>12059</v>
      </c>
      <c r="H458" s="6">
        <v>10489.74</v>
      </c>
      <c r="I458" s="39">
        <f t="shared" si="78"/>
        <v>86.98681482710009</v>
      </c>
      <c r="J458" s="6">
        <v>10490</v>
      </c>
      <c r="K458" s="119">
        <f t="shared" si="76"/>
        <v>0.03938807843831005</v>
      </c>
      <c r="L458" s="29"/>
      <c r="M458" s="80"/>
      <c r="N458" s="36">
        <f>(L458/J458)*100</f>
        <v>0</v>
      </c>
      <c r="O458" s="35">
        <f t="shared" si="77"/>
        <v>0</v>
      </c>
      <c r="P458" s="90"/>
    </row>
    <row r="459" spans="1:16" ht="22.5">
      <c r="A459" s="134"/>
      <c r="B459" s="130"/>
      <c r="C459" s="33">
        <v>4520</v>
      </c>
      <c r="D459" s="4" t="s">
        <v>103</v>
      </c>
      <c r="E459" s="6"/>
      <c r="F459" s="6">
        <v>500</v>
      </c>
      <c r="G459" s="6">
        <v>500</v>
      </c>
      <c r="H459" s="6"/>
      <c r="I459" s="39">
        <f t="shared" si="78"/>
        <v>0</v>
      </c>
      <c r="J459" s="6"/>
      <c r="K459" s="119">
        <f t="shared" si="76"/>
        <v>0</v>
      </c>
      <c r="L459" s="29">
        <v>1000</v>
      </c>
      <c r="M459" s="80"/>
      <c r="N459" s="36"/>
      <c r="O459" s="35">
        <f t="shared" si="77"/>
        <v>0.0040318785330598125</v>
      </c>
      <c r="P459" s="90"/>
    </row>
    <row r="460" spans="1:16" ht="12.75">
      <c r="A460" s="134"/>
      <c r="B460" s="130"/>
      <c r="C460" s="33">
        <v>4700</v>
      </c>
      <c r="D460" s="4" t="s">
        <v>228</v>
      </c>
      <c r="E460" s="6"/>
      <c r="F460" s="6">
        <v>400</v>
      </c>
      <c r="G460" s="6">
        <v>400</v>
      </c>
      <c r="H460" s="6"/>
      <c r="I460" s="39">
        <f t="shared" si="78"/>
        <v>0</v>
      </c>
      <c r="J460" s="6">
        <v>400</v>
      </c>
      <c r="K460" s="119">
        <f t="shared" si="76"/>
        <v>0.0015019286344446156</v>
      </c>
      <c r="L460" s="29">
        <v>500</v>
      </c>
      <c r="M460" s="80"/>
      <c r="N460" s="36">
        <f>(L460/J460)*100</f>
        <v>125</v>
      </c>
      <c r="O460" s="35">
        <f t="shared" si="77"/>
        <v>0.0020159392665299062</v>
      </c>
      <c r="P460" s="90"/>
    </row>
    <row r="461" spans="1:16" ht="12.75">
      <c r="A461" s="134"/>
      <c r="B461" s="158"/>
      <c r="C461" s="56">
        <v>6057</v>
      </c>
      <c r="D461" s="4" t="s">
        <v>38</v>
      </c>
      <c r="E461" s="25">
        <v>278686.16</v>
      </c>
      <c r="F461" s="25">
        <v>1589680.01</v>
      </c>
      <c r="G461" s="25">
        <v>1589680.01</v>
      </c>
      <c r="H461" s="25">
        <v>1045940.3</v>
      </c>
      <c r="I461" s="39">
        <f t="shared" si="78"/>
        <v>65.7956502831032</v>
      </c>
      <c r="J461" s="40">
        <v>1589680</v>
      </c>
      <c r="K461" s="119">
        <f t="shared" si="76"/>
        <v>5.9689647790097915</v>
      </c>
      <c r="L461" s="40"/>
      <c r="M461" s="110"/>
      <c r="N461" s="36"/>
      <c r="O461" s="35">
        <f t="shared" si="77"/>
        <v>0</v>
      </c>
      <c r="P461" s="90"/>
    </row>
    <row r="462" spans="1:16" ht="12.75">
      <c r="A462" s="134"/>
      <c r="B462" s="158"/>
      <c r="C462" s="56">
        <v>6059</v>
      </c>
      <c r="D462" s="4" t="s">
        <v>38</v>
      </c>
      <c r="E462" s="25">
        <v>59105.94</v>
      </c>
      <c r="F462" s="25">
        <v>338940.8</v>
      </c>
      <c r="G462" s="25">
        <v>393940.8</v>
      </c>
      <c r="H462" s="25">
        <v>187889.35</v>
      </c>
      <c r="I462" s="39">
        <f t="shared" si="78"/>
        <v>47.69481861233972</v>
      </c>
      <c r="J462" s="25">
        <v>393941</v>
      </c>
      <c r="K462" s="119">
        <f t="shared" si="76"/>
        <v>1.4791781704543658</v>
      </c>
      <c r="L462" s="25"/>
      <c r="M462" s="78"/>
      <c r="N462" s="36"/>
      <c r="O462" s="35">
        <f t="shared" si="77"/>
        <v>0</v>
      </c>
      <c r="P462" s="90"/>
    </row>
    <row r="463" spans="1:16" s="108" customFormat="1" ht="11.25" customHeight="1">
      <c r="A463" s="134"/>
      <c r="B463" s="158"/>
      <c r="C463" s="58">
        <v>6060</v>
      </c>
      <c r="D463" s="4" t="s">
        <v>57</v>
      </c>
      <c r="E463" s="48"/>
      <c r="F463" s="48"/>
      <c r="G463" s="48"/>
      <c r="H463" s="48"/>
      <c r="I463" s="54"/>
      <c r="J463" s="48"/>
      <c r="K463" s="119">
        <f t="shared" si="76"/>
        <v>0</v>
      </c>
      <c r="L463" s="48">
        <v>5000</v>
      </c>
      <c r="M463" s="83"/>
      <c r="N463" s="36"/>
      <c r="O463" s="35">
        <f t="shared" si="77"/>
        <v>0.020159392665299068</v>
      </c>
      <c r="P463" s="90"/>
    </row>
    <row r="464" spans="1:16" s="108" customFormat="1" ht="12.75">
      <c r="A464" s="134"/>
      <c r="B464" s="158"/>
      <c r="C464" s="58">
        <v>6067</v>
      </c>
      <c r="D464" s="4" t="s">
        <v>57</v>
      </c>
      <c r="E464" s="48"/>
      <c r="F464" s="48"/>
      <c r="G464" s="48">
        <v>10200</v>
      </c>
      <c r="H464" s="48"/>
      <c r="I464" s="54">
        <f>(H464/G464)*100</f>
        <v>0</v>
      </c>
      <c r="J464" s="6">
        <v>10200</v>
      </c>
      <c r="K464" s="119">
        <f t="shared" si="76"/>
        <v>0.0382991801783377</v>
      </c>
      <c r="L464" s="29">
        <v>10200</v>
      </c>
      <c r="M464" s="80"/>
      <c r="N464" s="36">
        <f aca="true" t="shared" si="79" ref="N464:N481">(L464/J464)*100</f>
        <v>100</v>
      </c>
      <c r="O464" s="35">
        <f t="shared" si="77"/>
        <v>0.04112516103721009</v>
      </c>
      <c r="P464" s="90"/>
    </row>
    <row r="465" spans="1:16" s="108" customFormat="1" ht="12.75">
      <c r="A465" s="134"/>
      <c r="B465" s="146"/>
      <c r="C465" s="58">
        <v>6069</v>
      </c>
      <c r="D465" s="4" t="s">
        <v>57</v>
      </c>
      <c r="E465" s="48"/>
      <c r="F465" s="48"/>
      <c r="G465" s="48">
        <v>1800</v>
      </c>
      <c r="H465" s="48"/>
      <c r="I465" s="54"/>
      <c r="J465" s="6">
        <v>1800</v>
      </c>
      <c r="K465" s="119">
        <f t="shared" si="76"/>
        <v>0.0067586788550007704</v>
      </c>
      <c r="L465" s="29">
        <v>1800</v>
      </c>
      <c r="M465" s="80"/>
      <c r="N465" s="36">
        <f t="shared" si="79"/>
        <v>100</v>
      </c>
      <c r="O465" s="35">
        <f t="shared" si="77"/>
        <v>0.007257381359507663</v>
      </c>
      <c r="P465" s="90"/>
    </row>
    <row r="466" spans="1:16" ht="12.75" customHeight="1">
      <c r="A466" s="134"/>
      <c r="B466" s="164">
        <v>80146</v>
      </c>
      <c r="C466" s="50"/>
      <c r="D466" s="3" t="s">
        <v>168</v>
      </c>
      <c r="E466" s="5">
        <f>E467+E468+E469</f>
        <v>18364.83</v>
      </c>
      <c r="F466" s="5">
        <f>F467+F468+F469</f>
        <v>36293</v>
      </c>
      <c r="G466" s="5">
        <f>G467+G468+G469</f>
        <v>36293</v>
      </c>
      <c r="H466" s="5">
        <f>H467+H468+H469</f>
        <v>11894.199999999999</v>
      </c>
      <c r="I466" s="39">
        <f>(H466/G466)*100</f>
        <v>32.772710991100205</v>
      </c>
      <c r="J466" s="5">
        <f>J467+J468+J469</f>
        <v>36293</v>
      </c>
      <c r="K466" s="120">
        <f t="shared" si="76"/>
        <v>0.1362737398247461</v>
      </c>
      <c r="L466" s="5">
        <f>L467+L468+L469</f>
        <v>25367</v>
      </c>
      <c r="M466" s="45">
        <f>M467+M468+M469</f>
        <v>0</v>
      </c>
      <c r="N466" s="38">
        <f t="shared" si="79"/>
        <v>69.89502107844487</v>
      </c>
      <c r="O466" s="67">
        <f t="shared" si="77"/>
        <v>0.10227666274812827</v>
      </c>
      <c r="P466" s="90"/>
    </row>
    <row r="467" spans="1:16" ht="12.75">
      <c r="A467" s="134"/>
      <c r="B467" s="132"/>
      <c r="C467" s="33">
        <v>4210</v>
      </c>
      <c r="D467" s="4" t="s">
        <v>74</v>
      </c>
      <c r="E467" s="6">
        <v>2455.72</v>
      </c>
      <c r="F467" s="6">
        <v>6200</v>
      </c>
      <c r="G467" s="6">
        <v>6200</v>
      </c>
      <c r="H467" s="6">
        <v>291.96</v>
      </c>
      <c r="I467" s="39">
        <f>(H467/G467)*100</f>
        <v>4.709032258064516</v>
      </c>
      <c r="J467" s="6">
        <v>6200</v>
      </c>
      <c r="K467" s="119">
        <f t="shared" si="76"/>
        <v>0.023279893833891542</v>
      </c>
      <c r="L467" s="29">
        <v>3000</v>
      </c>
      <c r="M467" s="80"/>
      <c r="N467" s="36">
        <f t="shared" si="79"/>
        <v>48.38709677419355</v>
      </c>
      <c r="O467" s="35">
        <f t="shared" si="77"/>
        <v>0.012095635599179439</v>
      </c>
      <c r="P467" s="90"/>
    </row>
    <row r="468" spans="1:16" ht="12.75">
      <c r="A468" s="134"/>
      <c r="B468" s="132"/>
      <c r="C468" s="33">
        <v>4300</v>
      </c>
      <c r="D468" s="4" t="s">
        <v>169</v>
      </c>
      <c r="E468" s="6">
        <v>14872.69</v>
      </c>
      <c r="F468" s="6">
        <v>27335</v>
      </c>
      <c r="G468" s="6">
        <v>27335</v>
      </c>
      <c r="H468" s="6">
        <v>11079.21</v>
      </c>
      <c r="I468" s="39">
        <f>(H468/G468)*100</f>
        <v>40.53122370587159</v>
      </c>
      <c r="J468" s="6">
        <v>27335</v>
      </c>
      <c r="K468" s="119">
        <f t="shared" si="76"/>
        <v>0.10263804805635893</v>
      </c>
      <c r="L468" s="29">
        <v>19300</v>
      </c>
      <c r="M468" s="80"/>
      <c r="N468" s="36">
        <f t="shared" si="79"/>
        <v>70.60545088714103</v>
      </c>
      <c r="O468" s="35">
        <f t="shared" si="77"/>
        <v>0.07781525568805439</v>
      </c>
      <c r="P468" s="90"/>
    </row>
    <row r="469" spans="1:16" ht="12.75">
      <c r="A469" s="134"/>
      <c r="B469" s="133"/>
      <c r="C469" s="33">
        <v>4410</v>
      </c>
      <c r="D469" s="4" t="s">
        <v>125</v>
      </c>
      <c r="E469" s="6">
        <v>1036.42</v>
      </c>
      <c r="F469" s="6">
        <v>2758</v>
      </c>
      <c r="G469" s="6">
        <v>2758</v>
      </c>
      <c r="H469" s="6">
        <v>523.03</v>
      </c>
      <c r="I469" s="39">
        <f>(H469/G469)*100</f>
        <v>18.964104423495286</v>
      </c>
      <c r="J469" s="6">
        <v>2758</v>
      </c>
      <c r="K469" s="119">
        <f t="shared" si="76"/>
        <v>0.010355797934495627</v>
      </c>
      <c r="L469" s="29">
        <v>3067</v>
      </c>
      <c r="M469" s="80"/>
      <c r="N469" s="36">
        <f t="shared" si="79"/>
        <v>111.20377084844091</v>
      </c>
      <c r="O469" s="35">
        <f t="shared" si="77"/>
        <v>0.012365771460894447</v>
      </c>
      <c r="P469" s="90"/>
    </row>
    <row r="470" spans="1:16" s="15" customFormat="1" ht="12.75">
      <c r="A470" s="134"/>
      <c r="B470" s="164">
        <v>80148</v>
      </c>
      <c r="C470" s="50"/>
      <c r="D470" s="3" t="s">
        <v>250</v>
      </c>
      <c r="E470" s="5">
        <f aca="true" t="shared" si="80" ref="E470:L470">E471+E472+E473+E474+E475+E476+E479+E477+E478</f>
        <v>97941.84999999999</v>
      </c>
      <c r="F470" s="5">
        <f t="shared" si="80"/>
        <v>156236</v>
      </c>
      <c r="G470" s="5">
        <f t="shared" si="80"/>
        <v>157808</v>
      </c>
      <c r="H470" s="5">
        <f t="shared" si="80"/>
        <v>122699.95999999999</v>
      </c>
      <c r="I470" s="5">
        <f t="shared" si="80"/>
        <v>580.9812482837034</v>
      </c>
      <c r="J470" s="5">
        <f t="shared" si="80"/>
        <v>173776</v>
      </c>
      <c r="K470" s="120">
        <f t="shared" si="76"/>
        <v>0.6524978759481189</v>
      </c>
      <c r="L470" s="5">
        <f t="shared" si="80"/>
        <v>79197</v>
      </c>
      <c r="M470" s="45">
        <f>M471+M472+M473+M474+M475+M476+M479</f>
        <v>0</v>
      </c>
      <c r="N470" s="38">
        <f t="shared" si="79"/>
        <v>45.57418745971826</v>
      </c>
      <c r="O470" s="67">
        <f t="shared" si="77"/>
        <v>0.319312684182738</v>
      </c>
      <c r="P470" s="91"/>
    </row>
    <row r="471" spans="1:16" ht="12.75">
      <c r="A471" s="134"/>
      <c r="B471" s="130"/>
      <c r="C471" s="33">
        <v>3020</v>
      </c>
      <c r="D471" s="4" t="s">
        <v>174</v>
      </c>
      <c r="E471" s="6">
        <v>1288.09</v>
      </c>
      <c r="F471" s="6">
        <v>2550</v>
      </c>
      <c r="G471" s="6">
        <v>2550</v>
      </c>
      <c r="H471" s="6">
        <v>704.2</v>
      </c>
      <c r="I471" s="39">
        <f aca="true" t="shared" si="81" ref="I471:I479">(H471/G471)*100</f>
        <v>27.615686274509805</v>
      </c>
      <c r="J471" s="6">
        <v>1700</v>
      </c>
      <c r="K471" s="119">
        <f t="shared" si="76"/>
        <v>0.006383196696389617</v>
      </c>
      <c r="L471" s="29">
        <v>700</v>
      </c>
      <c r="M471" s="80"/>
      <c r="N471" s="36">
        <f t="shared" si="79"/>
        <v>41.17647058823529</v>
      </c>
      <c r="O471" s="35">
        <f t="shared" si="77"/>
        <v>0.002822314973141869</v>
      </c>
      <c r="P471" s="90"/>
    </row>
    <row r="472" spans="1:16" ht="12.75">
      <c r="A472" s="134"/>
      <c r="B472" s="130"/>
      <c r="C472" s="33">
        <v>4010</v>
      </c>
      <c r="D472" s="4" t="s">
        <v>95</v>
      </c>
      <c r="E472" s="6">
        <v>74110.83</v>
      </c>
      <c r="F472" s="6">
        <v>104842</v>
      </c>
      <c r="G472" s="6">
        <v>104842</v>
      </c>
      <c r="H472" s="6">
        <v>84644.58</v>
      </c>
      <c r="I472" s="39">
        <f t="shared" si="81"/>
        <v>80.73537322828638</v>
      </c>
      <c r="J472" s="6">
        <v>123100</v>
      </c>
      <c r="K472" s="119">
        <f t="shared" si="76"/>
        <v>0.4622185372503305</v>
      </c>
      <c r="L472" s="29">
        <v>52961</v>
      </c>
      <c r="M472" s="80"/>
      <c r="N472" s="36">
        <f t="shared" si="79"/>
        <v>43.02274573517465</v>
      </c>
      <c r="O472" s="35">
        <f t="shared" si="77"/>
        <v>0.21353231898938074</v>
      </c>
      <c r="P472" s="90"/>
    </row>
    <row r="473" spans="1:16" ht="12.75">
      <c r="A473" s="134"/>
      <c r="B473" s="130"/>
      <c r="C473" s="33">
        <v>4040</v>
      </c>
      <c r="D473" s="4" t="s">
        <v>97</v>
      </c>
      <c r="E473" s="6">
        <v>5517.03</v>
      </c>
      <c r="F473" s="6">
        <v>9866</v>
      </c>
      <c r="G473" s="6">
        <v>9866</v>
      </c>
      <c r="H473" s="6">
        <v>9681.42</v>
      </c>
      <c r="I473" s="39">
        <f t="shared" si="81"/>
        <v>98.12913034664504</v>
      </c>
      <c r="J473" s="6">
        <v>9682</v>
      </c>
      <c r="K473" s="119">
        <f t="shared" si="76"/>
        <v>0.03635418259673192</v>
      </c>
      <c r="L473" s="29">
        <v>3900</v>
      </c>
      <c r="M473" s="80"/>
      <c r="N473" s="36">
        <f t="shared" si="79"/>
        <v>40.28093369138608</v>
      </c>
      <c r="O473" s="35">
        <f t="shared" si="77"/>
        <v>0.015724326278933273</v>
      </c>
      <c r="P473" s="90"/>
    </row>
    <row r="474" spans="1:16" ht="12.75">
      <c r="A474" s="134"/>
      <c r="B474" s="130"/>
      <c r="C474" s="33">
        <v>4110</v>
      </c>
      <c r="D474" s="4" t="s">
        <v>117</v>
      </c>
      <c r="E474" s="6">
        <v>11357.04</v>
      </c>
      <c r="F474" s="6">
        <v>20778</v>
      </c>
      <c r="G474" s="6">
        <v>22350</v>
      </c>
      <c r="H474" s="6">
        <v>15004.37</v>
      </c>
      <c r="I474" s="39">
        <f t="shared" si="81"/>
        <v>67.13364653243849</v>
      </c>
      <c r="J474" s="6">
        <v>23081</v>
      </c>
      <c r="K474" s="119">
        <f t="shared" si="76"/>
        <v>0.08666503702904044</v>
      </c>
      <c r="L474" s="29">
        <v>10343</v>
      </c>
      <c r="M474" s="80"/>
      <c r="N474" s="36">
        <f t="shared" si="79"/>
        <v>44.81174992418006</v>
      </c>
      <c r="O474" s="35">
        <f t="shared" si="77"/>
        <v>0.04170171966743765</v>
      </c>
      <c r="P474" s="90"/>
    </row>
    <row r="475" spans="1:16" ht="12.75">
      <c r="A475" s="134"/>
      <c r="B475" s="130"/>
      <c r="C475" s="33">
        <v>4120</v>
      </c>
      <c r="D475" s="4" t="s">
        <v>106</v>
      </c>
      <c r="E475" s="6">
        <v>1938.55</v>
      </c>
      <c r="F475" s="6">
        <v>3300</v>
      </c>
      <c r="G475" s="6">
        <v>3300</v>
      </c>
      <c r="H475" s="6">
        <v>1710.04</v>
      </c>
      <c r="I475" s="39">
        <f t="shared" si="81"/>
        <v>51.81939393939394</v>
      </c>
      <c r="J475" s="6">
        <v>2620</v>
      </c>
      <c r="K475" s="119">
        <f t="shared" si="76"/>
        <v>0.009837632555612232</v>
      </c>
      <c r="L475" s="29">
        <v>1393</v>
      </c>
      <c r="M475" s="80"/>
      <c r="N475" s="36">
        <f t="shared" si="79"/>
        <v>53.16793893129771</v>
      </c>
      <c r="O475" s="35">
        <f t="shared" si="77"/>
        <v>0.00561640679655232</v>
      </c>
      <c r="P475" s="90"/>
    </row>
    <row r="476" spans="1:16" ht="12.75">
      <c r="A476" s="134"/>
      <c r="B476" s="130"/>
      <c r="C476" s="33">
        <v>4210</v>
      </c>
      <c r="D476" s="4" t="s">
        <v>74</v>
      </c>
      <c r="E476" s="6"/>
      <c r="F476" s="6">
        <v>3400</v>
      </c>
      <c r="G476" s="6">
        <v>3400</v>
      </c>
      <c r="H476" s="6">
        <v>1642.58</v>
      </c>
      <c r="I476" s="39">
        <f t="shared" si="81"/>
        <v>48.31117647058824</v>
      </c>
      <c r="J476" s="6">
        <v>3400</v>
      </c>
      <c r="K476" s="119">
        <f t="shared" si="76"/>
        <v>0.012766393392779234</v>
      </c>
      <c r="L476" s="29">
        <v>3000</v>
      </c>
      <c r="M476" s="80"/>
      <c r="N476" s="36">
        <f t="shared" si="79"/>
        <v>88.23529411764706</v>
      </c>
      <c r="O476" s="35">
        <f t="shared" si="77"/>
        <v>0.012095635599179439</v>
      </c>
      <c r="P476" s="90"/>
    </row>
    <row r="477" spans="1:16" ht="12.75">
      <c r="A477" s="134"/>
      <c r="B477" s="130"/>
      <c r="C477" s="33">
        <v>4260</v>
      </c>
      <c r="D477" s="4" t="s">
        <v>75</v>
      </c>
      <c r="E477" s="6"/>
      <c r="F477" s="6">
        <v>3900</v>
      </c>
      <c r="G477" s="6">
        <v>3900</v>
      </c>
      <c r="H477" s="6">
        <v>3021.52</v>
      </c>
      <c r="I477" s="39">
        <f t="shared" si="81"/>
        <v>77.47487179487179</v>
      </c>
      <c r="J477" s="6">
        <v>3900</v>
      </c>
      <c r="K477" s="119">
        <f t="shared" si="76"/>
        <v>0.014643804185835002</v>
      </c>
      <c r="L477" s="29">
        <v>3500</v>
      </c>
      <c r="M477" s="80"/>
      <c r="N477" s="36">
        <f t="shared" si="79"/>
        <v>89.74358974358975</v>
      </c>
      <c r="O477" s="35">
        <f t="shared" si="77"/>
        <v>0.014111574865709346</v>
      </c>
      <c r="P477" s="90"/>
    </row>
    <row r="478" spans="1:16" ht="12.75">
      <c r="A478" s="134"/>
      <c r="B478" s="130"/>
      <c r="C478" s="33">
        <v>4300</v>
      </c>
      <c r="D478" s="4" t="s">
        <v>87</v>
      </c>
      <c r="E478" s="6"/>
      <c r="F478" s="6">
        <v>1000</v>
      </c>
      <c r="G478" s="6">
        <v>1000</v>
      </c>
      <c r="H478" s="6">
        <v>405.9</v>
      </c>
      <c r="I478" s="39">
        <f t="shared" si="81"/>
        <v>40.589999999999996</v>
      </c>
      <c r="J478" s="6">
        <v>406</v>
      </c>
      <c r="K478" s="119">
        <f t="shared" si="76"/>
        <v>0.001524457563961285</v>
      </c>
      <c r="L478" s="29">
        <v>1000</v>
      </c>
      <c r="M478" s="80"/>
      <c r="N478" s="36">
        <f t="shared" si="79"/>
        <v>246.30541871921184</v>
      </c>
      <c r="O478" s="35">
        <f t="shared" si="77"/>
        <v>0.0040318785330598125</v>
      </c>
      <c r="P478" s="90"/>
    </row>
    <row r="479" spans="1:16" ht="13.5" customHeight="1">
      <c r="A479" s="134"/>
      <c r="B479" s="131"/>
      <c r="C479" s="33">
        <v>4440</v>
      </c>
      <c r="D479" s="4" t="s">
        <v>119</v>
      </c>
      <c r="E479" s="6">
        <v>3730.31</v>
      </c>
      <c r="F479" s="6">
        <v>6600</v>
      </c>
      <c r="G479" s="6">
        <v>6600</v>
      </c>
      <c r="H479" s="6">
        <v>5885.35</v>
      </c>
      <c r="I479" s="39">
        <f t="shared" si="81"/>
        <v>89.1719696969697</v>
      </c>
      <c r="J479" s="6">
        <v>5887</v>
      </c>
      <c r="K479" s="119">
        <f t="shared" si="76"/>
        <v>0.02210463467743863</v>
      </c>
      <c r="L479" s="29">
        <v>2400</v>
      </c>
      <c r="M479" s="80"/>
      <c r="N479" s="36">
        <f t="shared" si="79"/>
        <v>40.76779344317989</v>
      </c>
      <c r="O479" s="35">
        <f t="shared" si="77"/>
        <v>0.009676508479343551</v>
      </c>
      <c r="P479" s="90"/>
    </row>
    <row r="480" spans="1:16" ht="12.75">
      <c r="A480" s="134"/>
      <c r="B480" s="153">
        <v>80195</v>
      </c>
      <c r="C480" s="50"/>
      <c r="D480" s="3" t="s">
        <v>10</v>
      </c>
      <c r="E480" s="5">
        <f aca="true" t="shared" si="82" ref="E480:M480">+E482+E483+E481</f>
        <v>53958.36</v>
      </c>
      <c r="F480" s="5">
        <f t="shared" si="82"/>
        <v>64772</v>
      </c>
      <c r="G480" s="5">
        <f t="shared" si="82"/>
        <v>65995</v>
      </c>
      <c r="H480" s="5">
        <f t="shared" si="82"/>
        <v>62699.36</v>
      </c>
      <c r="I480" s="5">
        <f t="shared" si="82"/>
        <v>294.18969255897036</v>
      </c>
      <c r="J480" s="5">
        <f t="shared" si="82"/>
        <v>65995</v>
      </c>
      <c r="K480" s="120">
        <f t="shared" si="76"/>
        <v>0.247799450575431</v>
      </c>
      <c r="L480" s="5">
        <f t="shared" si="82"/>
        <v>65413.22</v>
      </c>
      <c r="M480" s="45">
        <f t="shared" si="82"/>
        <v>0</v>
      </c>
      <c r="N480" s="38">
        <f t="shared" si="79"/>
        <v>99.11844836730056</v>
      </c>
      <c r="O480" s="67">
        <f t="shared" si="77"/>
        <v>0.26373815749631885</v>
      </c>
      <c r="P480" s="90"/>
    </row>
    <row r="481" spans="1:16" s="108" customFormat="1" ht="12.75">
      <c r="A481" s="134"/>
      <c r="B481" s="153"/>
      <c r="C481" s="33">
        <v>4170</v>
      </c>
      <c r="D481" s="4" t="s">
        <v>86</v>
      </c>
      <c r="E481" s="6">
        <v>279</v>
      </c>
      <c r="F481" s="6">
        <v>100</v>
      </c>
      <c r="G481" s="6">
        <v>1203</v>
      </c>
      <c r="H481" s="6">
        <v>1202.4</v>
      </c>
      <c r="I481" s="39">
        <f aca="true" t="shared" si="83" ref="I481:I490">(H481/G481)*100</f>
        <v>99.9501246882793</v>
      </c>
      <c r="J481" s="6">
        <v>1203</v>
      </c>
      <c r="K481" s="119">
        <f t="shared" si="76"/>
        <v>0.004517050368092182</v>
      </c>
      <c r="L481" s="29">
        <v>400</v>
      </c>
      <c r="M481" s="80"/>
      <c r="N481" s="36">
        <f t="shared" si="79"/>
        <v>33.25020781379884</v>
      </c>
      <c r="O481" s="35">
        <f t="shared" si="77"/>
        <v>0.001612751413223925</v>
      </c>
      <c r="P481" s="90"/>
    </row>
    <row r="482" spans="1:16" ht="12.75">
      <c r="A482" s="134"/>
      <c r="B482" s="154"/>
      <c r="C482" s="33">
        <v>4300</v>
      </c>
      <c r="D482" s="4" t="s">
        <v>87</v>
      </c>
      <c r="E482" s="6"/>
      <c r="F482" s="6"/>
      <c r="G482" s="6">
        <v>120</v>
      </c>
      <c r="H482" s="6">
        <v>119.2</v>
      </c>
      <c r="I482" s="39">
        <f t="shared" si="83"/>
        <v>99.33333333333334</v>
      </c>
      <c r="J482" s="6">
        <v>120</v>
      </c>
      <c r="K482" s="119">
        <f t="shared" si="76"/>
        <v>0.00045057859033338475</v>
      </c>
      <c r="L482" s="29">
        <v>100</v>
      </c>
      <c r="M482" s="80"/>
      <c r="N482" s="36">
        <f>(L482/J482)*100</f>
        <v>83.33333333333334</v>
      </c>
      <c r="O482" s="35">
        <f t="shared" si="77"/>
        <v>0.00040318785330598127</v>
      </c>
      <c r="P482" s="90"/>
    </row>
    <row r="483" spans="1:16" ht="12.75">
      <c r="A483" s="134"/>
      <c r="B483" s="154"/>
      <c r="C483" s="33">
        <v>4440</v>
      </c>
      <c r="D483" s="4" t="s">
        <v>161</v>
      </c>
      <c r="E483" s="6">
        <v>53679.36</v>
      </c>
      <c r="F483" s="6">
        <v>64672</v>
      </c>
      <c r="G483" s="6">
        <v>64672</v>
      </c>
      <c r="H483" s="6">
        <v>61377.76</v>
      </c>
      <c r="I483" s="39">
        <f t="shared" si="83"/>
        <v>94.90623453735775</v>
      </c>
      <c r="J483" s="6">
        <v>64672</v>
      </c>
      <c r="K483" s="119">
        <f t="shared" si="76"/>
        <v>0.24283182161700545</v>
      </c>
      <c r="L483" s="29">
        <v>64913.22</v>
      </c>
      <c r="M483" s="80"/>
      <c r="N483" s="36">
        <f>(L483/J483)*100</f>
        <v>100.37298985650669</v>
      </c>
      <c r="O483" s="35">
        <f t="shared" si="77"/>
        <v>0.2617222182297889</v>
      </c>
      <c r="P483" s="90"/>
    </row>
    <row r="484" spans="1:16" ht="12.75">
      <c r="A484" s="143" t="s">
        <v>216</v>
      </c>
      <c r="B484" s="33"/>
      <c r="C484" s="33"/>
      <c r="D484" s="3" t="s">
        <v>24</v>
      </c>
      <c r="E484" s="5">
        <f>E488+E491+E505</f>
        <v>87330.83</v>
      </c>
      <c r="F484" s="5">
        <f>F488+F491+F505</f>
        <v>96237</v>
      </c>
      <c r="G484" s="5">
        <f>G488+G491+G505</f>
        <v>98597</v>
      </c>
      <c r="H484" s="5">
        <f>H488+H491+H505</f>
        <v>65203.7</v>
      </c>
      <c r="I484" s="39">
        <f t="shared" si="83"/>
        <v>66.13152529995841</v>
      </c>
      <c r="J484" s="5">
        <f>J488+J491+J505</f>
        <v>98597</v>
      </c>
      <c r="K484" s="120">
        <f t="shared" si="76"/>
        <v>0.37021414392583946</v>
      </c>
      <c r="L484" s="5">
        <f>L488+L491+L505</f>
        <v>104399</v>
      </c>
      <c r="M484" s="45">
        <f>M488+M491+M505</f>
        <v>0</v>
      </c>
      <c r="N484" s="38">
        <f>(L484/J484)*100</f>
        <v>105.88456038216172</v>
      </c>
      <c r="O484" s="67">
        <f t="shared" si="77"/>
        <v>0.42092408697291145</v>
      </c>
      <c r="P484" s="90"/>
    </row>
    <row r="485" spans="1:16" ht="12.75">
      <c r="A485" s="144"/>
      <c r="B485" s="33"/>
      <c r="C485" s="33"/>
      <c r="D485" s="8" t="s">
        <v>230</v>
      </c>
      <c r="E485" s="6">
        <f>E484</f>
        <v>87330.83</v>
      </c>
      <c r="F485" s="6">
        <f>F484</f>
        <v>96237</v>
      </c>
      <c r="G485" s="6">
        <f>G484</f>
        <v>98597</v>
      </c>
      <c r="H485" s="6">
        <f>H484</f>
        <v>65203.7</v>
      </c>
      <c r="I485" s="39">
        <f t="shared" si="83"/>
        <v>66.13152529995841</v>
      </c>
      <c r="J485" s="6">
        <f>J484</f>
        <v>98597</v>
      </c>
      <c r="K485" s="119">
        <f t="shared" si="76"/>
        <v>0.37021414392583946</v>
      </c>
      <c r="L485" s="6">
        <f>L484</f>
        <v>104399</v>
      </c>
      <c r="M485" s="43">
        <f>M484</f>
        <v>0</v>
      </c>
      <c r="N485" s="36">
        <f>(L485/J485)*100</f>
        <v>105.88456038216172</v>
      </c>
      <c r="O485" s="35">
        <f t="shared" si="77"/>
        <v>0.42092408697291145</v>
      </c>
      <c r="P485" s="90"/>
    </row>
    <row r="486" spans="1:16" ht="12.75">
      <c r="A486" s="144"/>
      <c r="B486" s="33"/>
      <c r="C486" s="33"/>
      <c r="D486" s="8" t="s">
        <v>231</v>
      </c>
      <c r="E486" s="6">
        <v>0</v>
      </c>
      <c r="F486" s="6">
        <v>0</v>
      </c>
      <c r="G486" s="6">
        <v>0</v>
      </c>
      <c r="H486" s="6">
        <v>0</v>
      </c>
      <c r="I486" s="39" t="e">
        <f t="shared" si="83"/>
        <v>#DIV/0!</v>
      </c>
      <c r="J486" s="6">
        <v>0</v>
      </c>
      <c r="K486" s="119">
        <f t="shared" si="76"/>
        <v>0</v>
      </c>
      <c r="L486" s="6">
        <v>0</v>
      </c>
      <c r="M486" s="60">
        <v>0</v>
      </c>
      <c r="N486" s="36"/>
      <c r="O486" s="35">
        <f t="shared" si="77"/>
        <v>0</v>
      </c>
      <c r="P486" s="90"/>
    </row>
    <row r="487" spans="1:16" ht="12.75">
      <c r="A487" s="144"/>
      <c r="B487" s="33"/>
      <c r="C487" s="33"/>
      <c r="D487" s="8" t="s">
        <v>252</v>
      </c>
      <c r="E487" s="6">
        <f>E492</f>
        <v>19979</v>
      </c>
      <c r="F487" s="6">
        <f>F492</f>
        <v>18000</v>
      </c>
      <c r="G487" s="6">
        <f>G492</f>
        <v>20000</v>
      </c>
      <c r="H487" s="6">
        <f>H492</f>
        <v>19996.81</v>
      </c>
      <c r="I487" s="39">
        <f t="shared" si="83"/>
        <v>99.98405</v>
      </c>
      <c r="J487" s="6"/>
      <c r="K487" s="119">
        <f t="shared" si="76"/>
        <v>0</v>
      </c>
      <c r="L487" s="6"/>
      <c r="M487" s="43">
        <f>M492</f>
        <v>0</v>
      </c>
      <c r="N487" s="36"/>
      <c r="O487" s="35">
        <f t="shared" si="77"/>
        <v>0</v>
      </c>
      <c r="P487" s="90"/>
    </row>
    <row r="488" spans="1:16" ht="12.75">
      <c r="A488" s="145"/>
      <c r="B488" s="155">
        <v>85153</v>
      </c>
      <c r="C488" s="4"/>
      <c r="D488" s="3" t="s">
        <v>170</v>
      </c>
      <c r="E488" s="5">
        <f>E489+E490</f>
        <v>3998.88</v>
      </c>
      <c r="F488" s="5">
        <f>F489+F490</f>
        <v>4000</v>
      </c>
      <c r="G488" s="5">
        <f>G489+G490</f>
        <v>4000</v>
      </c>
      <c r="H488" s="5">
        <f>H489+H490</f>
        <v>860</v>
      </c>
      <c r="I488" s="39">
        <f t="shared" si="83"/>
        <v>21.5</v>
      </c>
      <c r="J488" s="5">
        <f>J489+J490</f>
        <v>4000</v>
      </c>
      <c r="K488" s="120">
        <f t="shared" si="76"/>
        <v>0.015019286344446157</v>
      </c>
      <c r="L488" s="5">
        <f>L489+L490</f>
        <v>5000</v>
      </c>
      <c r="M488" s="45">
        <f>M489+M490</f>
        <v>0</v>
      </c>
      <c r="N488" s="38">
        <f>(L488/J488)*100</f>
        <v>125</v>
      </c>
      <c r="O488" s="67">
        <f t="shared" si="77"/>
        <v>0.020159392665299068</v>
      </c>
      <c r="P488" s="90"/>
    </row>
    <row r="489" spans="1:16" ht="12.75">
      <c r="A489" s="145"/>
      <c r="B489" s="156"/>
      <c r="C489" s="4">
        <v>4210</v>
      </c>
      <c r="D489" s="4" t="str">
        <f>D499</f>
        <v>Zakup materiałów</v>
      </c>
      <c r="E489" s="6">
        <v>492</v>
      </c>
      <c r="F489" s="6">
        <v>500</v>
      </c>
      <c r="G489" s="6">
        <v>500</v>
      </c>
      <c r="H489" s="6"/>
      <c r="I489" s="39">
        <f t="shared" si="83"/>
        <v>0</v>
      </c>
      <c r="J489" s="6">
        <v>500</v>
      </c>
      <c r="K489" s="119">
        <f t="shared" si="76"/>
        <v>0.0018774107930557696</v>
      </c>
      <c r="L489" s="29">
        <v>500</v>
      </c>
      <c r="M489" s="80"/>
      <c r="N489" s="36">
        <f>(L489/J489)*100</f>
        <v>100</v>
      </c>
      <c r="O489" s="35">
        <f t="shared" si="77"/>
        <v>0.0020159392665299062</v>
      </c>
      <c r="P489" s="90"/>
    </row>
    <row r="490" spans="1:16" ht="12.75">
      <c r="A490" s="145"/>
      <c r="B490" s="156"/>
      <c r="C490" s="4">
        <v>4300</v>
      </c>
      <c r="D490" s="4" t="str">
        <f>D502</f>
        <v>Usługi pozostałe</v>
      </c>
      <c r="E490" s="6">
        <v>3506.88</v>
      </c>
      <c r="F490" s="6">
        <v>3500</v>
      </c>
      <c r="G490" s="6">
        <v>3500</v>
      </c>
      <c r="H490" s="6">
        <v>860</v>
      </c>
      <c r="I490" s="39">
        <f t="shared" si="83"/>
        <v>24.571428571428573</v>
      </c>
      <c r="J490" s="6">
        <v>3500</v>
      </c>
      <c r="K490" s="119">
        <f t="shared" si="76"/>
        <v>0.013141875551390386</v>
      </c>
      <c r="L490" s="29">
        <v>4500</v>
      </c>
      <c r="M490" s="80"/>
      <c r="N490" s="36">
        <f>(L490/J490)*100</f>
        <v>128.57142857142858</v>
      </c>
      <c r="O490" s="35">
        <f t="shared" si="77"/>
        <v>0.01814345339876916</v>
      </c>
      <c r="P490" s="90"/>
    </row>
    <row r="491" spans="1:16" ht="12.75" customHeight="1">
      <c r="A491" s="145"/>
      <c r="B491" s="155" t="s">
        <v>171</v>
      </c>
      <c r="C491" s="3"/>
      <c r="D491" s="3" t="s">
        <v>25</v>
      </c>
      <c r="E491" s="5">
        <f aca="true" t="shared" si="84" ref="E491:M491">E492+E494+E496+E497+E498+E499+E500+E501+E502+E503+E504+E495+E493</f>
        <v>83121.95</v>
      </c>
      <c r="F491" s="5">
        <f t="shared" si="84"/>
        <v>92237</v>
      </c>
      <c r="G491" s="5">
        <f t="shared" si="84"/>
        <v>94237</v>
      </c>
      <c r="H491" s="5">
        <f t="shared" si="84"/>
        <v>64068.39</v>
      </c>
      <c r="I491" s="5">
        <f t="shared" si="84"/>
        <v>846.0757392541026</v>
      </c>
      <c r="J491" s="5">
        <f t="shared" si="84"/>
        <v>94237</v>
      </c>
      <c r="K491" s="120">
        <f t="shared" si="76"/>
        <v>0.3538431218103931</v>
      </c>
      <c r="L491" s="5">
        <f t="shared" si="84"/>
        <v>99000</v>
      </c>
      <c r="M491" s="45">
        <f t="shared" si="84"/>
        <v>0</v>
      </c>
      <c r="N491" s="38">
        <f>(L491/J491)*100</f>
        <v>105.05427804365588</v>
      </c>
      <c r="O491" s="67">
        <f t="shared" si="77"/>
        <v>0.3991559747729215</v>
      </c>
      <c r="P491" s="90"/>
    </row>
    <row r="492" spans="1:16" ht="24" customHeight="1">
      <c r="A492" s="145"/>
      <c r="B492" s="156"/>
      <c r="C492" s="4" t="s">
        <v>172</v>
      </c>
      <c r="D492" s="4" t="s">
        <v>173</v>
      </c>
      <c r="E492" s="6">
        <v>19979</v>
      </c>
      <c r="F492" s="6">
        <v>18000</v>
      </c>
      <c r="G492" s="6">
        <v>20000</v>
      </c>
      <c r="H492" s="6">
        <v>19996.81</v>
      </c>
      <c r="I492" s="39">
        <f aca="true" t="shared" si="85" ref="I492:I516">(H492/G492)*100</f>
        <v>99.98405</v>
      </c>
      <c r="J492" s="6">
        <v>20000</v>
      </c>
      <c r="K492" s="119">
        <f t="shared" si="76"/>
        <v>0.0750964317222308</v>
      </c>
      <c r="L492" s="29">
        <v>20000</v>
      </c>
      <c r="M492" s="80"/>
      <c r="N492" s="36">
        <f>(L492/J492)*100</f>
        <v>100</v>
      </c>
      <c r="O492" s="35">
        <f t="shared" si="77"/>
        <v>0.08063757066119627</v>
      </c>
      <c r="P492" s="90"/>
    </row>
    <row r="493" spans="1:16" ht="12.75">
      <c r="A493" s="145"/>
      <c r="B493" s="156"/>
      <c r="C493" s="4">
        <v>3030</v>
      </c>
      <c r="D493" s="4" t="s">
        <v>123</v>
      </c>
      <c r="E493" s="6"/>
      <c r="F493" s="6">
        <v>1000</v>
      </c>
      <c r="G493" s="6">
        <v>1000</v>
      </c>
      <c r="H493" s="6"/>
      <c r="I493" s="39">
        <f t="shared" si="85"/>
        <v>0</v>
      </c>
      <c r="J493" s="6">
        <v>1000</v>
      </c>
      <c r="K493" s="119">
        <f t="shared" si="76"/>
        <v>0.0037548215861115393</v>
      </c>
      <c r="L493" s="29">
        <v>1000</v>
      </c>
      <c r="M493" s="80"/>
      <c r="N493" s="36"/>
      <c r="O493" s="35">
        <f t="shared" si="77"/>
        <v>0.0040318785330598125</v>
      </c>
      <c r="P493" s="90"/>
    </row>
    <row r="494" spans="1:16" ht="12.75">
      <c r="A494" s="145"/>
      <c r="B494" s="156"/>
      <c r="C494" s="4" t="s">
        <v>94</v>
      </c>
      <c r="D494" s="4" t="s">
        <v>95</v>
      </c>
      <c r="E494" s="6">
        <v>8365.66</v>
      </c>
      <c r="F494" s="6">
        <v>9878</v>
      </c>
      <c r="G494" s="6">
        <v>9878</v>
      </c>
      <c r="H494" s="6">
        <v>7577.56</v>
      </c>
      <c r="I494" s="39">
        <f t="shared" si="85"/>
        <v>76.71148005669164</v>
      </c>
      <c r="J494" s="6">
        <v>9889</v>
      </c>
      <c r="K494" s="119">
        <f t="shared" si="76"/>
        <v>0.03713143066505701</v>
      </c>
      <c r="L494" s="29">
        <v>10933</v>
      </c>
      <c r="M494" s="80"/>
      <c r="N494" s="36">
        <f aca="true" t="shared" si="86" ref="N494:N510">(L494/J494)*100</f>
        <v>110.55718475073313</v>
      </c>
      <c r="O494" s="35">
        <f t="shared" si="77"/>
        <v>0.04408052800194294</v>
      </c>
      <c r="P494" s="90"/>
    </row>
    <row r="495" spans="1:16" ht="12.75">
      <c r="A495" s="145"/>
      <c r="B495" s="156"/>
      <c r="C495" s="4">
        <v>4040</v>
      </c>
      <c r="D495" s="4" t="s">
        <v>97</v>
      </c>
      <c r="E495" s="6">
        <v>600</v>
      </c>
      <c r="F495" s="6">
        <v>807</v>
      </c>
      <c r="G495" s="6">
        <v>807</v>
      </c>
      <c r="H495" s="6">
        <v>795.95</v>
      </c>
      <c r="I495" s="39">
        <f t="shared" si="85"/>
        <v>98.63073110285006</v>
      </c>
      <c r="J495" s="6">
        <v>796</v>
      </c>
      <c r="K495" s="119">
        <f t="shared" si="76"/>
        <v>0.0029888379825447854</v>
      </c>
      <c r="L495" s="29">
        <v>846</v>
      </c>
      <c r="M495" s="80"/>
      <c r="N495" s="36">
        <f t="shared" si="86"/>
        <v>106.28140703517587</v>
      </c>
      <c r="O495" s="35">
        <f t="shared" si="77"/>
        <v>0.003410969238968602</v>
      </c>
      <c r="P495" s="90"/>
    </row>
    <row r="496" spans="1:16" ht="12.75">
      <c r="A496" s="145"/>
      <c r="B496" s="156"/>
      <c r="C496" s="4" t="s">
        <v>98</v>
      </c>
      <c r="D496" s="4" t="s">
        <v>84</v>
      </c>
      <c r="E496" s="6">
        <v>1370.86</v>
      </c>
      <c r="F496" s="6">
        <v>1902</v>
      </c>
      <c r="G496" s="6">
        <v>1902</v>
      </c>
      <c r="H496" s="6">
        <v>1411.57</v>
      </c>
      <c r="I496" s="39">
        <f t="shared" si="85"/>
        <v>74.21503680336488</v>
      </c>
      <c r="J496" s="6">
        <v>1902</v>
      </c>
      <c r="K496" s="119">
        <f t="shared" si="76"/>
        <v>0.007141670656784147</v>
      </c>
      <c r="L496" s="29">
        <v>2128</v>
      </c>
      <c r="M496" s="80"/>
      <c r="N496" s="36">
        <f t="shared" si="86"/>
        <v>111.88222923238695</v>
      </c>
      <c r="O496" s="35">
        <f t="shared" si="77"/>
        <v>0.008579837518351282</v>
      </c>
      <c r="P496" s="90"/>
    </row>
    <row r="497" spans="1:16" ht="12.75">
      <c r="A497" s="145"/>
      <c r="B497" s="156"/>
      <c r="C497" s="4" t="s">
        <v>99</v>
      </c>
      <c r="D497" s="4" t="s">
        <v>106</v>
      </c>
      <c r="E497" s="6">
        <v>225.48</v>
      </c>
      <c r="F497" s="6">
        <v>262</v>
      </c>
      <c r="G497" s="6">
        <v>262</v>
      </c>
      <c r="H497" s="6">
        <v>205.14</v>
      </c>
      <c r="I497" s="39">
        <f t="shared" si="85"/>
        <v>78.29770992366412</v>
      </c>
      <c r="J497" s="6">
        <v>262</v>
      </c>
      <c r="K497" s="119">
        <f t="shared" si="76"/>
        <v>0.0009837632555612231</v>
      </c>
      <c r="L497" s="29">
        <v>290</v>
      </c>
      <c r="M497" s="80"/>
      <c r="N497" s="36">
        <f t="shared" si="86"/>
        <v>110.68702290076335</v>
      </c>
      <c r="O497" s="35">
        <f t="shared" si="77"/>
        <v>0.0011692447745873457</v>
      </c>
      <c r="P497" s="90"/>
    </row>
    <row r="498" spans="1:16" ht="12.75">
      <c r="A498" s="145"/>
      <c r="B498" s="156"/>
      <c r="C498" s="4" t="s">
        <v>100</v>
      </c>
      <c r="D498" s="4" t="s">
        <v>86</v>
      </c>
      <c r="E498" s="6">
        <v>30209.72</v>
      </c>
      <c r="F498" s="6">
        <v>32956</v>
      </c>
      <c r="G498" s="6">
        <v>32956</v>
      </c>
      <c r="H498" s="6">
        <v>20130.5</v>
      </c>
      <c r="I498" s="39">
        <f t="shared" si="85"/>
        <v>61.08295909697779</v>
      </c>
      <c r="J498" s="6">
        <v>32956</v>
      </c>
      <c r="K498" s="119">
        <f t="shared" si="76"/>
        <v>0.1237439001918919</v>
      </c>
      <c r="L498" s="29">
        <v>32756</v>
      </c>
      <c r="M498" s="80"/>
      <c r="N498" s="36">
        <f t="shared" si="86"/>
        <v>99.39313023425173</v>
      </c>
      <c r="O498" s="35">
        <f t="shared" si="77"/>
        <v>0.13206821322890724</v>
      </c>
      <c r="P498" s="90"/>
    </row>
    <row r="499" spans="1:16" ht="12.75">
      <c r="A499" s="145"/>
      <c r="B499" s="156"/>
      <c r="C499" s="4" t="s">
        <v>101</v>
      </c>
      <c r="D499" s="4" t="s">
        <v>175</v>
      </c>
      <c r="E499" s="6">
        <v>470.98</v>
      </c>
      <c r="F499" s="6">
        <v>7550</v>
      </c>
      <c r="G499" s="6">
        <v>7550</v>
      </c>
      <c r="H499" s="6">
        <v>212.85</v>
      </c>
      <c r="I499" s="39">
        <f t="shared" si="85"/>
        <v>2.819205298013245</v>
      </c>
      <c r="J499" s="6">
        <v>2550</v>
      </c>
      <c r="K499" s="119">
        <f t="shared" si="76"/>
        <v>0.009574795044584425</v>
      </c>
      <c r="L499" s="29">
        <v>2500</v>
      </c>
      <c r="M499" s="80"/>
      <c r="N499" s="36">
        <f t="shared" si="86"/>
        <v>98.0392156862745</v>
      </c>
      <c r="O499" s="35">
        <f t="shared" si="77"/>
        <v>0.010079696332649534</v>
      </c>
      <c r="P499" s="90"/>
    </row>
    <row r="500" spans="1:16" ht="12.75">
      <c r="A500" s="145"/>
      <c r="B500" s="156"/>
      <c r="C500" s="4" t="s">
        <v>176</v>
      </c>
      <c r="D500" s="4" t="s">
        <v>177</v>
      </c>
      <c r="E500" s="6">
        <v>3190.08</v>
      </c>
      <c r="F500" s="6">
        <v>2200</v>
      </c>
      <c r="G500" s="6">
        <v>2200</v>
      </c>
      <c r="H500" s="6">
        <v>2199.87</v>
      </c>
      <c r="I500" s="39">
        <f t="shared" si="85"/>
        <v>99.9940909090909</v>
      </c>
      <c r="J500" s="6">
        <v>3200</v>
      </c>
      <c r="K500" s="119">
        <f t="shared" si="76"/>
        <v>0.012015429075556925</v>
      </c>
      <c r="L500" s="29">
        <v>3022</v>
      </c>
      <c r="M500" s="80"/>
      <c r="N500" s="36">
        <f t="shared" si="86"/>
        <v>94.4375</v>
      </c>
      <c r="O500" s="35">
        <f t="shared" si="77"/>
        <v>0.012184336926906755</v>
      </c>
      <c r="P500" s="90"/>
    </row>
    <row r="501" spans="1:16" ht="12.75">
      <c r="A501" s="145"/>
      <c r="B501" s="156"/>
      <c r="C501" s="4" t="s">
        <v>109</v>
      </c>
      <c r="D501" s="4" t="s">
        <v>75</v>
      </c>
      <c r="E501" s="6">
        <v>73.63</v>
      </c>
      <c r="F501" s="6">
        <v>100</v>
      </c>
      <c r="G501" s="6">
        <v>100</v>
      </c>
      <c r="H501" s="6">
        <v>58.34</v>
      </c>
      <c r="I501" s="39">
        <f t="shared" si="85"/>
        <v>58.34</v>
      </c>
      <c r="J501" s="6">
        <v>100</v>
      </c>
      <c r="K501" s="119">
        <f t="shared" si="76"/>
        <v>0.0003754821586111539</v>
      </c>
      <c r="L501" s="29"/>
      <c r="M501" s="80"/>
      <c r="N501" s="36">
        <f t="shared" si="86"/>
        <v>0</v>
      </c>
      <c r="O501" s="35">
        <f t="shared" si="77"/>
        <v>0</v>
      </c>
      <c r="P501" s="90"/>
    </row>
    <row r="502" spans="1:16" ht="12.75">
      <c r="A502" s="145"/>
      <c r="B502" s="156"/>
      <c r="C502" s="4" t="s">
        <v>78</v>
      </c>
      <c r="D502" s="4" t="s">
        <v>178</v>
      </c>
      <c r="E502" s="6">
        <v>18036.37</v>
      </c>
      <c r="F502" s="6">
        <v>16861</v>
      </c>
      <c r="G502" s="6">
        <v>16861</v>
      </c>
      <c r="H502" s="6">
        <v>11072.04</v>
      </c>
      <c r="I502" s="39">
        <f t="shared" si="85"/>
        <v>65.66656781922781</v>
      </c>
      <c r="J502" s="6">
        <v>21018</v>
      </c>
      <c r="K502" s="119">
        <f t="shared" si="76"/>
        <v>0.07891884009689233</v>
      </c>
      <c r="L502" s="29">
        <v>25000</v>
      </c>
      <c r="M502" s="80"/>
      <c r="N502" s="36">
        <f t="shared" si="86"/>
        <v>118.94566561994482</v>
      </c>
      <c r="O502" s="35">
        <f t="shared" si="77"/>
        <v>0.10079696332649533</v>
      </c>
      <c r="P502" s="90"/>
    </row>
    <row r="503" spans="1:16" ht="23.25" customHeight="1">
      <c r="A503" s="145"/>
      <c r="B503" s="156"/>
      <c r="C503" s="4">
        <v>4370</v>
      </c>
      <c r="D503" s="4" t="s">
        <v>150</v>
      </c>
      <c r="E503" s="6">
        <v>548.17</v>
      </c>
      <c r="F503" s="6">
        <v>669</v>
      </c>
      <c r="G503" s="6">
        <v>669</v>
      </c>
      <c r="H503" s="6">
        <v>368.64</v>
      </c>
      <c r="I503" s="39">
        <f t="shared" si="85"/>
        <v>55.10313901345292</v>
      </c>
      <c r="J503" s="6">
        <v>512</v>
      </c>
      <c r="K503" s="119">
        <f t="shared" si="76"/>
        <v>0.001922468652089108</v>
      </c>
      <c r="L503" s="29">
        <v>525</v>
      </c>
      <c r="M503" s="80"/>
      <c r="N503" s="36">
        <f t="shared" si="86"/>
        <v>102.5390625</v>
      </c>
      <c r="O503" s="35">
        <f t="shared" si="77"/>
        <v>0.002116736229856402</v>
      </c>
      <c r="P503" s="90"/>
    </row>
    <row r="504" spans="1:16" ht="13.5" customHeight="1">
      <c r="A504" s="145"/>
      <c r="B504" s="156"/>
      <c r="C504" s="4">
        <v>4400</v>
      </c>
      <c r="D504" s="4" t="s">
        <v>179</v>
      </c>
      <c r="E504" s="6">
        <v>52</v>
      </c>
      <c r="F504" s="6">
        <v>52</v>
      </c>
      <c r="G504" s="6">
        <v>52</v>
      </c>
      <c r="H504" s="6">
        <v>39.12</v>
      </c>
      <c r="I504" s="39">
        <f t="shared" si="85"/>
        <v>75.23076923076923</v>
      </c>
      <c r="J504" s="6">
        <v>52</v>
      </c>
      <c r="K504" s="119">
        <f t="shared" si="76"/>
        <v>0.00019525072247780005</v>
      </c>
      <c r="L504" s="29"/>
      <c r="M504" s="80"/>
      <c r="N504" s="36">
        <f t="shared" si="86"/>
        <v>0</v>
      </c>
      <c r="O504" s="35">
        <f t="shared" si="77"/>
        <v>0</v>
      </c>
      <c r="P504" s="90"/>
    </row>
    <row r="505" spans="1:16" ht="12.75">
      <c r="A505" s="145"/>
      <c r="B505" s="147">
        <v>85195</v>
      </c>
      <c r="C505" s="3"/>
      <c r="D505" s="3" t="s">
        <v>10</v>
      </c>
      <c r="E505" s="5">
        <f>E506+E507+E508+E509+E510</f>
        <v>209.99999999999997</v>
      </c>
      <c r="F505" s="5">
        <f>F506+F507+F508+F509+F510</f>
        <v>0</v>
      </c>
      <c r="G505" s="5">
        <f>G506+G507+G508+G509+G510</f>
        <v>360</v>
      </c>
      <c r="H505" s="5">
        <f>H506+H507+H508+H509+H510</f>
        <v>275.31</v>
      </c>
      <c r="I505" s="39">
        <f t="shared" si="85"/>
        <v>76.47500000000001</v>
      </c>
      <c r="J505" s="5">
        <f>J506+J507+J508+J509+J510</f>
        <v>360</v>
      </c>
      <c r="K505" s="120">
        <f t="shared" si="76"/>
        <v>0.0013517357710001543</v>
      </c>
      <c r="L505" s="5">
        <f>L506+L507+L508+L509+L510</f>
        <v>399</v>
      </c>
      <c r="M505" s="45">
        <f>M506+M507+M508+M509+M510</f>
        <v>0</v>
      </c>
      <c r="N505" s="38">
        <f t="shared" si="86"/>
        <v>110.83333333333334</v>
      </c>
      <c r="O505" s="67">
        <f t="shared" si="77"/>
        <v>0.0016087195346908654</v>
      </c>
      <c r="P505" s="90"/>
    </row>
    <row r="506" spans="1:16" ht="12.75">
      <c r="A506" s="145"/>
      <c r="B506" s="150"/>
      <c r="C506" s="4">
        <v>4010</v>
      </c>
      <c r="D506" s="4" t="s">
        <v>95</v>
      </c>
      <c r="E506" s="6">
        <v>179.39</v>
      </c>
      <c r="F506" s="6"/>
      <c r="G506" s="6">
        <v>226</v>
      </c>
      <c r="H506" s="6">
        <v>159.16</v>
      </c>
      <c r="I506" s="39">
        <f t="shared" si="85"/>
        <v>70.42477876106194</v>
      </c>
      <c r="J506" s="6">
        <v>202</v>
      </c>
      <c r="K506" s="119">
        <f t="shared" si="76"/>
        <v>0.0007584739603945309</v>
      </c>
      <c r="L506" s="29">
        <v>210</v>
      </c>
      <c r="M506" s="80"/>
      <c r="N506" s="36">
        <f t="shared" si="86"/>
        <v>103.96039603960396</v>
      </c>
      <c r="O506" s="35">
        <f t="shared" si="77"/>
        <v>0.0008466944919425608</v>
      </c>
      <c r="P506" s="90"/>
    </row>
    <row r="507" spans="1:16" ht="12.75">
      <c r="A507" s="145"/>
      <c r="B507" s="150"/>
      <c r="C507" s="4">
        <v>4110</v>
      </c>
      <c r="D507" s="4" t="s">
        <v>84</v>
      </c>
      <c r="E507" s="6">
        <v>27.45</v>
      </c>
      <c r="F507" s="6"/>
      <c r="G507" s="6">
        <v>42</v>
      </c>
      <c r="H507" s="6">
        <v>27.08</v>
      </c>
      <c r="I507" s="39">
        <f t="shared" si="85"/>
        <v>64.47619047619048</v>
      </c>
      <c r="J507" s="6">
        <v>34</v>
      </c>
      <c r="K507" s="119">
        <f t="shared" si="76"/>
        <v>0.00012766393392779233</v>
      </c>
      <c r="L507" s="29">
        <v>36</v>
      </c>
      <c r="M507" s="80"/>
      <c r="N507" s="36">
        <f t="shared" si="86"/>
        <v>105.88235294117648</v>
      </c>
      <c r="O507" s="35">
        <f t="shared" si="77"/>
        <v>0.00014514762719015329</v>
      </c>
      <c r="P507" s="90"/>
    </row>
    <row r="508" spans="1:16" ht="12.75">
      <c r="A508" s="145"/>
      <c r="B508" s="150"/>
      <c r="C508" s="4">
        <v>4120</v>
      </c>
      <c r="D508" s="4" t="s">
        <v>106</v>
      </c>
      <c r="E508" s="6">
        <v>3.16</v>
      </c>
      <c r="F508" s="6"/>
      <c r="G508" s="6">
        <v>5</v>
      </c>
      <c r="H508" s="6">
        <v>2.32</v>
      </c>
      <c r="I508" s="39">
        <f t="shared" si="85"/>
        <v>46.4</v>
      </c>
      <c r="J508" s="6">
        <v>3</v>
      </c>
      <c r="K508" s="119">
        <f t="shared" si="76"/>
        <v>1.1264464758334618E-05</v>
      </c>
      <c r="L508" s="29">
        <v>5</v>
      </c>
      <c r="M508" s="80"/>
      <c r="N508" s="36">
        <f t="shared" si="86"/>
        <v>166.66666666666669</v>
      </c>
      <c r="O508" s="35">
        <f t="shared" si="77"/>
        <v>2.0159392665299067E-05</v>
      </c>
      <c r="P508" s="90"/>
    </row>
    <row r="509" spans="1:16" ht="12.75">
      <c r="A509" s="130"/>
      <c r="B509" s="148"/>
      <c r="C509" s="4">
        <v>4210</v>
      </c>
      <c r="D509" s="4" t="s">
        <v>175</v>
      </c>
      <c r="E509" s="6"/>
      <c r="F509" s="6"/>
      <c r="G509" s="6">
        <v>2</v>
      </c>
      <c r="H509" s="6">
        <v>2</v>
      </c>
      <c r="I509" s="39">
        <f t="shared" si="85"/>
        <v>100</v>
      </c>
      <c r="J509" s="6">
        <v>2</v>
      </c>
      <c r="K509" s="119">
        <f t="shared" si="76"/>
        <v>7.509643172223078E-06</v>
      </c>
      <c r="L509" s="29">
        <v>18</v>
      </c>
      <c r="M509" s="80"/>
      <c r="N509" s="36">
        <f t="shared" si="86"/>
        <v>900</v>
      </c>
      <c r="O509" s="35">
        <f t="shared" si="77"/>
        <v>7.257381359507664E-05</v>
      </c>
      <c r="P509" s="90"/>
    </row>
    <row r="510" spans="1:16" ht="12.75">
      <c r="A510" s="146"/>
      <c r="B510" s="149"/>
      <c r="C510" s="4">
        <v>4300</v>
      </c>
      <c r="D510" s="4" t="s">
        <v>87</v>
      </c>
      <c r="E510" s="6"/>
      <c r="F510" s="6"/>
      <c r="G510" s="6">
        <v>85</v>
      </c>
      <c r="H510" s="6">
        <v>84.75</v>
      </c>
      <c r="I510" s="39">
        <f t="shared" si="85"/>
        <v>99.70588235294117</v>
      </c>
      <c r="J510" s="6">
        <v>119</v>
      </c>
      <c r="K510" s="119">
        <f t="shared" si="76"/>
        <v>0.00044682376874727314</v>
      </c>
      <c r="L510" s="29">
        <v>130</v>
      </c>
      <c r="M510" s="80"/>
      <c r="N510" s="36">
        <f t="shared" si="86"/>
        <v>109.24369747899159</v>
      </c>
      <c r="O510" s="35">
        <f t="shared" si="77"/>
        <v>0.0005241442092977758</v>
      </c>
      <c r="P510" s="90"/>
    </row>
    <row r="511" spans="1:16" ht="12.75">
      <c r="A511" s="164">
        <v>852</v>
      </c>
      <c r="B511" s="3"/>
      <c r="C511" s="4"/>
      <c r="D511" s="3" t="s">
        <v>26</v>
      </c>
      <c r="E511" s="5" t="e">
        <f>E518+E520+E543+E562+E566+E568+E572+E594+E607+E622+E570+E536+E539+E516</f>
        <v>#REF!</v>
      </c>
      <c r="F511" s="5" t="e">
        <f>F518+F520+F543+F562+F566+F568+F572+F594+F607+F622+F570+F536+F539+F516</f>
        <v>#REF!</v>
      </c>
      <c r="G511" s="5" t="e">
        <f>G518+G520+G543+G562+G566+G568+G572+G594+G607+G622+G570+G536+G539+G516</f>
        <v>#REF!</v>
      </c>
      <c r="H511" s="5" t="e">
        <f>H518+H520+H543+H562+H566+H568+H572+H594+H607+H622+H570+H536+H539+H516</f>
        <v>#REF!</v>
      </c>
      <c r="I511" s="39" t="e">
        <f t="shared" si="85"/>
        <v>#REF!</v>
      </c>
      <c r="J511" s="5">
        <f>J518+J520+J543+J562+J566+J568+J572+J594+J607+J622+J570+J536+J539+J516</f>
        <v>4977049</v>
      </c>
      <c r="K511" s="120">
        <f t="shared" si="76"/>
        <v>18.68793102033485</v>
      </c>
      <c r="L511" s="5">
        <f>L518+L520+L543+L562+L566+L568+L572+L594+L607+L622+L570+L536+L539+L516</f>
        <v>4953477</v>
      </c>
      <c r="M511" s="45" t="e">
        <f>M518+M520+M543+M562+M566+M568+M572+M594+M607+M622+M570+M536+M539+M516</f>
        <v>#REF!</v>
      </c>
      <c r="N511" s="38">
        <f>(L511/J511)*100</f>
        <v>99.52638601709567</v>
      </c>
      <c r="O511" s="67">
        <f t="shared" si="77"/>
        <v>19.971817580305522</v>
      </c>
      <c r="P511" s="90"/>
    </row>
    <row r="512" spans="1:16" ht="12.75">
      <c r="A512" s="145"/>
      <c r="B512" s="3"/>
      <c r="C512" s="4"/>
      <c r="D512" s="8" t="s">
        <v>230</v>
      </c>
      <c r="E512" s="6" t="e">
        <f>E511-E513</f>
        <v>#REF!</v>
      </c>
      <c r="F512" s="6" t="e">
        <f>F511-F513</f>
        <v>#REF!</v>
      </c>
      <c r="G512" s="6" t="e">
        <f>G511-G513</f>
        <v>#REF!</v>
      </c>
      <c r="H512" s="6" t="e">
        <f>H511-H513</f>
        <v>#REF!</v>
      </c>
      <c r="I512" s="39" t="e">
        <f t="shared" si="85"/>
        <v>#REF!</v>
      </c>
      <c r="J512" s="6">
        <f>J511-J513</f>
        <v>4977049</v>
      </c>
      <c r="K512" s="119">
        <f t="shared" si="76"/>
        <v>18.68793102033485</v>
      </c>
      <c r="L512" s="6">
        <f>L511-L513</f>
        <v>4953477</v>
      </c>
      <c r="M512" s="43" t="e">
        <f>M511-M513</f>
        <v>#REF!</v>
      </c>
      <c r="N512" s="36">
        <f>(L512/J512)*100</f>
        <v>99.52638601709567</v>
      </c>
      <c r="O512" s="35">
        <f t="shared" si="77"/>
        <v>19.971817580305522</v>
      </c>
      <c r="P512" s="90"/>
    </row>
    <row r="513" spans="1:16" ht="12.75">
      <c r="A513" s="145"/>
      <c r="B513" s="3"/>
      <c r="C513" s="4"/>
      <c r="D513" s="46" t="s">
        <v>231</v>
      </c>
      <c r="E513" s="26"/>
      <c r="F513" s="25"/>
      <c r="G513" s="25"/>
      <c r="H513" s="25"/>
      <c r="I513" s="39" t="e">
        <f t="shared" si="85"/>
        <v>#DIV/0!</v>
      </c>
      <c r="J513" s="25"/>
      <c r="K513" s="119">
        <f t="shared" si="76"/>
        <v>0</v>
      </c>
      <c r="L513" s="25"/>
      <c r="M513" s="78"/>
      <c r="N513" s="36"/>
      <c r="O513" s="35">
        <f t="shared" si="77"/>
        <v>0</v>
      </c>
      <c r="P513" s="90"/>
    </row>
    <row r="514" spans="1:16" ht="12.75">
      <c r="A514" s="145"/>
      <c r="B514" s="3"/>
      <c r="C514" s="4"/>
      <c r="D514" s="46" t="s">
        <v>293</v>
      </c>
      <c r="E514" s="26" t="e">
        <f>SUM(E512:E513)</f>
        <v>#REF!</v>
      </c>
      <c r="F514" s="26" t="e">
        <f>SUM(F512:F513)</f>
        <v>#REF!</v>
      </c>
      <c r="G514" s="26" t="e">
        <f>SUM(G512:G513)</f>
        <v>#REF!</v>
      </c>
      <c r="H514" s="26" t="e">
        <f>SUM(H512:H513)</f>
        <v>#REF!</v>
      </c>
      <c r="I514" s="39" t="e">
        <f t="shared" si="85"/>
        <v>#REF!</v>
      </c>
      <c r="J514" s="26">
        <f>SUM(J512:J513)</f>
        <v>4977049</v>
      </c>
      <c r="K514" s="119">
        <f t="shared" si="76"/>
        <v>18.68793102033485</v>
      </c>
      <c r="L514" s="26">
        <f>SUM(L512:L513)</f>
        <v>4953477</v>
      </c>
      <c r="M514" s="111" t="e">
        <f>SUM(M512:M513)</f>
        <v>#REF!</v>
      </c>
      <c r="N514" s="113">
        <f>(L514/J514)*100</f>
        <v>99.52638601709567</v>
      </c>
      <c r="O514" s="35">
        <f t="shared" si="77"/>
        <v>19.971817580305522</v>
      </c>
      <c r="P514" s="90"/>
    </row>
    <row r="515" spans="1:16" ht="12.75">
      <c r="A515" s="145"/>
      <c r="B515" s="3"/>
      <c r="C515" s="4"/>
      <c r="D515" s="8" t="s">
        <v>253</v>
      </c>
      <c r="E515" s="6">
        <f>E567+E623</f>
        <v>89834.09</v>
      </c>
      <c r="F515" s="6">
        <f>F567+F623</f>
        <v>78600</v>
      </c>
      <c r="G515" s="6">
        <f>G567+G623</f>
        <v>95267</v>
      </c>
      <c r="H515" s="6">
        <f>H567+H623</f>
        <v>40244.92</v>
      </c>
      <c r="I515" s="39">
        <f t="shared" si="85"/>
        <v>42.244344841340656</v>
      </c>
      <c r="J515" s="6">
        <f>J567+J623</f>
        <v>106100</v>
      </c>
      <c r="K515" s="119">
        <f t="shared" si="76"/>
        <v>0.39838657028643426</v>
      </c>
      <c r="L515" s="6">
        <f>L567+L623</f>
        <v>73396</v>
      </c>
      <c r="M515" s="43">
        <f>M567+M623</f>
        <v>0</v>
      </c>
      <c r="N515" s="36">
        <f>(L515/J515)*100</f>
        <v>69.17624882186615</v>
      </c>
      <c r="O515" s="35">
        <f t="shared" si="77"/>
        <v>0.295923756812458</v>
      </c>
      <c r="P515" s="90"/>
    </row>
    <row r="516" spans="1:16" ht="17.25" customHeight="1">
      <c r="A516" s="145"/>
      <c r="B516" s="3">
        <v>85201</v>
      </c>
      <c r="C516" s="4"/>
      <c r="D516" s="3" t="s">
        <v>332</v>
      </c>
      <c r="E516" s="5">
        <f>E517</f>
        <v>0</v>
      </c>
      <c r="F516" s="5">
        <f>F517</f>
        <v>0</v>
      </c>
      <c r="G516" s="5">
        <f>G517</f>
        <v>0</v>
      </c>
      <c r="H516" s="5">
        <f>H517</f>
        <v>0</v>
      </c>
      <c r="I516" s="39" t="e">
        <f t="shared" si="85"/>
        <v>#DIV/0!</v>
      </c>
      <c r="J516" s="5">
        <f>J517</f>
        <v>9354</v>
      </c>
      <c r="K516" s="120">
        <f t="shared" si="76"/>
        <v>0.03512260111648734</v>
      </c>
      <c r="L516" s="5">
        <f>L517</f>
        <v>19200</v>
      </c>
      <c r="M516" s="45">
        <f>M517</f>
        <v>0</v>
      </c>
      <c r="N516" s="38">
        <f aca="true" t="shared" si="87" ref="N516:N537">(L516/J516)*100</f>
        <v>205.25978191148172</v>
      </c>
      <c r="O516" s="67">
        <f t="shared" si="77"/>
        <v>0.07741206783474841</v>
      </c>
      <c r="P516" s="90"/>
    </row>
    <row r="517" spans="1:16" ht="12.75">
      <c r="A517" s="145"/>
      <c r="B517" s="3"/>
      <c r="C517" s="4">
        <v>2900</v>
      </c>
      <c r="D517" s="4" t="s">
        <v>333</v>
      </c>
      <c r="E517" s="6"/>
      <c r="F517" s="6"/>
      <c r="G517" s="6"/>
      <c r="H517" s="6"/>
      <c r="I517" s="39"/>
      <c r="J517" s="6">
        <v>9354</v>
      </c>
      <c r="K517" s="119">
        <f aca="true" t="shared" si="88" ref="K517:K580">(J517/$J$769)*100</f>
        <v>0.03512260111648734</v>
      </c>
      <c r="L517" s="6">
        <v>19200</v>
      </c>
      <c r="M517" s="60"/>
      <c r="N517" s="36">
        <f t="shared" si="87"/>
        <v>205.25978191148172</v>
      </c>
      <c r="O517" s="35">
        <f aca="true" t="shared" si="89" ref="O517:O580">L517/$L$769*100</f>
        <v>0.07741206783474841</v>
      </c>
      <c r="P517" s="90"/>
    </row>
    <row r="518" spans="1:16" ht="12.75">
      <c r="A518" s="145"/>
      <c r="B518" s="155">
        <v>85202</v>
      </c>
      <c r="C518" s="4"/>
      <c r="D518" s="3" t="s">
        <v>181</v>
      </c>
      <c r="E518" s="5">
        <f>E519</f>
        <v>405539.52</v>
      </c>
      <c r="F518" s="5">
        <f>F519</f>
        <v>435200</v>
      </c>
      <c r="G518" s="5">
        <f>G519</f>
        <v>476520</v>
      </c>
      <c r="H518" s="5">
        <f>H519</f>
        <v>362484.19</v>
      </c>
      <c r="I518" s="39">
        <f>(H518/G518)*100</f>
        <v>76.06904012423404</v>
      </c>
      <c r="J518" s="5">
        <f>J519</f>
        <v>476520</v>
      </c>
      <c r="K518" s="120">
        <f t="shared" si="88"/>
        <v>1.7892475822138705</v>
      </c>
      <c r="L518" s="5">
        <f>L519</f>
        <v>481300</v>
      </c>
      <c r="M518" s="45">
        <f>M519</f>
        <v>0</v>
      </c>
      <c r="N518" s="38">
        <f t="shared" si="87"/>
        <v>101.00310585075127</v>
      </c>
      <c r="O518" s="67">
        <f t="shared" si="89"/>
        <v>1.940543137961688</v>
      </c>
      <c r="P518" s="90"/>
    </row>
    <row r="519" spans="1:16" ht="12.75">
      <c r="A519" s="145"/>
      <c r="B519" s="155"/>
      <c r="C519" s="4">
        <v>4330</v>
      </c>
      <c r="D519" s="4" t="s">
        <v>298</v>
      </c>
      <c r="E519" s="6">
        <v>405539.52</v>
      </c>
      <c r="F519" s="6">
        <v>435200</v>
      </c>
      <c r="G519" s="6">
        <v>476520</v>
      </c>
      <c r="H519" s="6">
        <v>362484.19</v>
      </c>
      <c r="I519" s="39">
        <f>(H519/G519)*100</f>
        <v>76.06904012423404</v>
      </c>
      <c r="J519" s="6">
        <v>476520</v>
      </c>
      <c r="K519" s="119">
        <f t="shared" si="88"/>
        <v>1.7892475822138705</v>
      </c>
      <c r="L519" s="29">
        <v>481300</v>
      </c>
      <c r="M519" s="80"/>
      <c r="N519" s="36">
        <f t="shared" si="87"/>
        <v>101.00310585075127</v>
      </c>
      <c r="O519" s="35">
        <f t="shared" si="89"/>
        <v>1.940543137961688</v>
      </c>
      <c r="P519" s="90"/>
    </row>
    <row r="520" spans="1:16" ht="12.75">
      <c r="A520" s="145"/>
      <c r="B520" s="155">
        <v>85203</v>
      </c>
      <c r="C520" s="4"/>
      <c r="D520" s="3" t="s">
        <v>182</v>
      </c>
      <c r="E520" s="5">
        <f aca="true" t="shared" si="90" ref="E520:M520">E521+E522+E523+E524+E525+E526+E527+E528+E530+E531+E533+E534+E535+E532+E529</f>
        <v>32735.58</v>
      </c>
      <c r="F520" s="5">
        <f t="shared" si="90"/>
        <v>40801</v>
      </c>
      <c r="G520" s="5">
        <f t="shared" si="90"/>
        <v>40768</v>
      </c>
      <c r="H520" s="5">
        <f t="shared" si="90"/>
        <v>27683.899999999998</v>
      </c>
      <c r="I520" s="5">
        <f t="shared" si="90"/>
        <v>818.516777210386</v>
      </c>
      <c r="J520" s="5">
        <f t="shared" si="90"/>
        <v>40768</v>
      </c>
      <c r="K520" s="120">
        <f t="shared" si="88"/>
        <v>0.15307656642259523</v>
      </c>
      <c r="L520" s="5">
        <f t="shared" si="90"/>
        <v>43628</v>
      </c>
      <c r="M520" s="45">
        <f t="shared" si="90"/>
        <v>0</v>
      </c>
      <c r="N520" s="38">
        <f t="shared" si="87"/>
        <v>107.01530612244898</v>
      </c>
      <c r="O520" s="67">
        <f t="shared" si="89"/>
        <v>0.1759027966403335</v>
      </c>
      <c r="P520" s="90"/>
    </row>
    <row r="521" spans="1:16" ht="12.75">
      <c r="A521" s="145"/>
      <c r="B521" s="156"/>
      <c r="C521" s="4">
        <v>3020</v>
      </c>
      <c r="D521" s="4" t="s">
        <v>183</v>
      </c>
      <c r="E521" s="6">
        <v>82.38</v>
      </c>
      <c r="F521" s="6">
        <v>139</v>
      </c>
      <c r="G521" s="6">
        <v>139</v>
      </c>
      <c r="H521" s="6">
        <v>80.35</v>
      </c>
      <c r="I521" s="39">
        <f aca="true" t="shared" si="91" ref="I521:I535">(H521/G521)*100</f>
        <v>57.80575539568345</v>
      </c>
      <c r="J521" s="6">
        <v>139</v>
      </c>
      <c r="K521" s="119">
        <f t="shared" si="88"/>
        <v>0.000521920200469504</v>
      </c>
      <c r="L521" s="29">
        <v>143</v>
      </c>
      <c r="M521" s="80"/>
      <c r="N521" s="36">
        <f t="shared" si="87"/>
        <v>102.87769784172663</v>
      </c>
      <c r="O521" s="35">
        <f t="shared" si="89"/>
        <v>0.0005765586302275533</v>
      </c>
      <c r="P521" s="90"/>
    </row>
    <row r="522" spans="1:16" ht="12.75">
      <c r="A522" s="145"/>
      <c r="B522" s="156"/>
      <c r="C522" s="4">
        <v>4010</v>
      </c>
      <c r="D522" s="4" t="s">
        <v>95</v>
      </c>
      <c r="E522" s="6">
        <v>17478.5</v>
      </c>
      <c r="F522" s="6">
        <v>21090</v>
      </c>
      <c r="G522" s="6">
        <v>21090</v>
      </c>
      <c r="H522" s="6">
        <v>13882.7</v>
      </c>
      <c r="I522" s="39">
        <f t="shared" si="91"/>
        <v>65.82598387861546</v>
      </c>
      <c r="J522" s="6">
        <v>21090</v>
      </c>
      <c r="K522" s="119">
        <f t="shared" si="88"/>
        <v>0.07918918725109236</v>
      </c>
      <c r="L522" s="29">
        <v>22056</v>
      </c>
      <c r="M522" s="80"/>
      <c r="N522" s="36">
        <f t="shared" si="87"/>
        <v>104.58036984352775</v>
      </c>
      <c r="O522" s="35">
        <f t="shared" si="89"/>
        <v>0.08892711292516724</v>
      </c>
      <c r="P522" s="90"/>
    </row>
    <row r="523" spans="1:16" ht="12.75">
      <c r="A523" s="145"/>
      <c r="B523" s="156"/>
      <c r="C523" s="4">
        <v>4040</v>
      </c>
      <c r="D523" s="4" t="s">
        <v>97</v>
      </c>
      <c r="E523" s="6">
        <v>1204.98</v>
      </c>
      <c r="F523" s="6">
        <v>1414</v>
      </c>
      <c r="G523" s="6">
        <v>1444</v>
      </c>
      <c r="H523" s="6">
        <v>1443.17</v>
      </c>
      <c r="I523" s="39">
        <f t="shared" si="91"/>
        <v>99.94252077562328</v>
      </c>
      <c r="J523" s="6">
        <v>1443</v>
      </c>
      <c r="K523" s="119">
        <f t="shared" si="88"/>
        <v>0.005418207548758951</v>
      </c>
      <c r="L523" s="29">
        <v>1545</v>
      </c>
      <c r="M523" s="80"/>
      <c r="N523" s="36">
        <f t="shared" si="87"/>
        <v>107.06860706860707</v>
      </c>
      <c r="O523" s="35">
        <f t="shared" si="89"/>
        <v>0.006229252333577411</v>
      </c>
      <c r="P523" s="90"/>
    </row>
    <row r="524" spans="1:16" ht="12.75">
      <c r="A524" s="145"/>
      <c r="B524" s="156"/>
      <c r="C524" s="4">
        <v>4110</v>
      </c>
      <c r="D524" s="4" t="s">
        <v>84</v>
      </c>
      <c r="E524" s="6">
        <v>2856.69</v>
      </c>
      <c r="F524" s="6">
        <v>3441</v>
      </c>
      <c r="G524" s="6">
        <v>3441</v>
      </c>
      <c r="H524" s="6">
        <v>2584.4</v>
      </c>
      <c r="I524" s="39">
        <f t="shared" si="91"/>
        <v>75.10607381575124</v>
      </c>
      <c r="J524" s="6">
        <v>3441</v>
      </c>
      <c r="K524" s="119">
        <f t="shared" si="88"/>
        <v>0.012920341077809807</v>
      </c>
      <c r="L524" s="29">
        <v>4064</v>
      </c>
      <c r="M524" s="80"/>
      <c r="N524" s="36">
        <f t="shared" si="87"/>
        <v>118.10520197616971</v>
      </c>
      <c r="O524" s="35">
        <f t="shared" si="89"/>
        <v>0.016385554358355082</v>
      </c>
      <c r="P524" s="90"/>
    </row>
    <row r="525" spans="1:16" ht="12.75">
      <c r="A525" s="145"/>
      <c r="B525" s="156"/>
      <c r="C525" s="4">
        <v>4120</v>
      </c>
      <c r="D525" s="4" t="s">
        <v>106</v>
      </c>
      <c r="E525" s="6">
        <v>457.79</v>
      </c>
      <c r="F525" s="6">
        <v>551</v>
      </c>
      <c r="G525" s="6">
        <v>551</v>
      </c>
      <c r="H525" s="6">
        <v>375.48</v>
      </c>
      <c r="I525" s="39">
        <f t="shared" si="91"/>
        <v>68.14519056261344</v>
      </c>
      <c r="J525" s="6">
        <v>551</v>
      </c>
      <c r="K525" s="119">
        <f t="shared" si="88"/>
        <v>0.0020689066939474582</v>
      </c>
      <c r="L525" s="29">
        <v>578</v>
      </c>
      <c r="M525" s="80"/>
      <c r="N525" s="36">
        <f t="shared" si="87"/>
        <v>104.90018148820326</v>
      </c>
      <c r="O525" s="35">
        <f t="shared" si="89"/>
        <v>0.002330425792108572</v>
      </c>
      <c r="P525" s="90"/>
    </row>
    <row r="526" spans="1:16" ht="12.75">
      <c r="A526" s="145"/>
      <c r="B526" s="156"/>
      <c r="C526" s="4">
        <v>4170</v>
      </c>
      <c r="D526" s="4" t="s">
        <v>86</v>
      </c>
      <c r="E526" s="6"/>
      <c r="F526" s="6">
        <v>140</v>
      </c>
      <c r="G526" s="6">
        <v>140</v>
      </c>
      <c r="H526" s="6"/>
      <c r="I526" s="39">
        <f t="shared" si="91"/>
        <v>0</v>
      </c>
      <c r="J526" s="6">
        <v>140</v>
      </c>
      <c r="K526" s="119">
        <f t="shared" si="88"/>
        <v>0.0005256750220556154</v>
      </c>
      <c r="L526" s="29">
        <v>140</v>
      </c>
      <c r="M526" s="80"/>
      <c r="N526" s="36">
        <f t="shared" si="87"/>
        <v>100</v>
      </c>
      <c r="O526" s="35">
        <f t="shared" si="89"/>
        <v>0.0005644629946283739</v>
      </c>
      <c r="P526" s="90"/>
    </row>
    <row r="527" spans="1:16" ht="12.75">
      <c r="A527" s="145"/>
      <c r="B527" s="156"/>
      <c r="C527" s="4">
        <v>4210</v>
      </c>
      <c r="D527" s="4" t="s">
        <v>175</v>
      </c>
      <c r="E527" s="6">
        <v>354.83</v>
      </c>
      <c r="F527" s="6">
        <v>1343</v>
      </c>
      <c r="G527" s="6">
        <v>1343</v>
      </c>
      <c r="H527" s="6">
        <v>86.23</v>
      </c>
      <c r="I527" s="39">
        <f t="shared" si="91"/>
        <v>6.420699925539837</v>
      </c>
      <c r="J527" s="6">
        <v>1344</v>
      </c>
      <c r="K527" s="119">
        <f t="shared" si="88"/>
        <v>0.005046480211733909</v>
      </c>
      <c r="L527" s="29">
        <v>1343</v>
      </c>
      <c r="M527" s="80"/>
      <c r="N527" s="36">
        <f t="shared" si="87"/>
        <v>99.92559523809523</v>
      </c>
      <c r="O527" s="35">
        <f t="shared" si="89"/>
        <v>0.0054148128698993285</v>
      </c>
      <c r="P527" s="90"/>
    </row>
    <row r="528" spans="1:16" ht="12.75">
      <c r="A528" s="145"/>
      <c r="B528" s="156"/>
      <c r="C528" s="4">
        <v>4260</v>
      </c>
      <c r="D528" s="4" t="s">
        <v>184</v>
      </c>
      <c r="E528" s="6">
        <v>5606.06</v>
      </c>
      <c r="F528" s="6">
        <v>5743</v>
      </c>
      <c r="G528" s="6">
        <v>7180</v>
      </c>
      <c r="H528" s="6">
        <v>5356.94</v>
      </c>
      <c r="I528" s="39">
        <f t="shared" si="91"/>
        <v>74.60919220055709</v>
      </c>
      <c r="J528" s="6">
        <v>7180</v>
      </c>
      <c r="K528" s="119">
        <f t="shared" si="88"/>
        <v>0.02695961898828085</v>
      </c>
      <c r="L528" s="29">
        <v>7374</v>
      </c>
      <c r="M528" s="80"/>
      <c r="N528" s="36">
        <f t="shared" si="87"/>
        <v>102.70194986072423</v>
      </c>
      <c r="O528" s="35">
        <f t="shared" si="89"/>
        <v>0.02973107230278306</v>
      </c>
      <c r="P528" s="90"/>
    </row>
    <row r="529" spans="1:16" ht="12.75">
      <c r="A529" s="145"/>
      <c r="B529" s="156"/>
      <c r="C529" s="4">
        <v>4280</v>
      </c>
      <c r="D529" s="4" t="s">
        <v>222</v>
      </c>
      <c r="E529" s="6"/>
      <c r="F529" s="6">
        <v>40</v>
      </c>
      <c r="G529" s="6">
        <v>40</v>
      </c>
      <c r="H529" s="6">
        <v>35</v>
      </c>
      <c r="I529" s="39">
        <f t="shared" si="91"/>
        <v>87.5</v>
      </c>
      <c r="J529" s="6">
        <v>40</v>
      </c>
      <c r="K529" s="119">
        <f t="shared" si="88"/>
        <v>0.00015019286344446157</v>
      </c>
      <c r="L529" s="29">
        <v>40</v>
      </c>
      <c r="M529" s="80"/>
      <c r="N529" s="36">
        <f t="shared" si="87"/>
        <v>100</v>
      </c>
      <c r="O529" s="35">
        <f t="shared" si="89"/>
        <v>0.00016127514132239254</v>
      </c>
      <c r="P529" s="90"/>
    </row>
    <row r="530" spans="1:16" ht="12.75">
      <c r="A530" s="145"/>
      <c r="B530" s="156"/>
      <c r="C530" s="4">
        <v>4300</v>
      </c>
      <c r="D530" s="4" t="s">
        <v>178</v>
      </c>
      <c r="E530" s="6">
        <v>445.26</v>
      </c>
      <c r="F530" s="6">
        <v>2057</v>
      </c>
      <c r="G530" s="6">
        <v>1157</v>
      </c>
      <c r="H530" s="6">
        <v>500.78</v>
      </c>
      <c r="I530" s="39">
        <f t="shared" si="91"/>
        <v>43.28262748487467</v>
      </c>
      <c r="J530" s="6">
        <v>1157</v>
      </c>
      <c r="K530" s="119">
        <f t="shared" si="88"/>
        <v>0.004344328575131051</v>
      </c>
      <c r="L530" s="29">
        <v>2057</v>
      </c>
      <c r="M530" s="80"/>
      <c r="N530" s="36">
        <f t="shared" si="87"/>
        <v>177.78738115816768</v>
      </c>
      <c r="O530" s="35">
        <f t="shared" si="89"/>
        <v>0.008293574142504036</v>
      </c>
      <c r="P530" s="90"/>
    </row>
    <row r="531" spans="1:16" ht="22.5">
      <c r="A531" s="145"/>
      <c r="B531" s="156"/>
      <c r="C531" s="4">
        <v>4370</v>
      </c>
      <c r="D531" s="4" t="s">
        <v>135</v>
      </c>
      <c r="E531" s="6">
        <v>531.96</v>
      </c>
      <c r="F531" s="6">
        <v>1148</v>
      </c>
      <c r="G531" s="6">
        <v>548</v>
      </c>
      <c r="H531" s="6">
        <v>370.67</v>
      </c>
      <c r="I531" s="39">
        <f t="shared" si="91"/>
        <v>67.6405109489051</v>
      </c>
      <c r="J531" s="6">
        <v>548</v>
      </c>
      <c r="K531" s="119">
        <f t="shared" si="88"/>
        <v>0.0020576422291891236</v>
      </c>
      <c r="L531" s="29">
        <v>563</v>
      </c>
      <c r="M531" s="80"/>
      <c r="N531" s="36">
        <f t="shared" si="87"/>
        <v>102.73722627737227</v>
      </c>
      <c r="O531" s="35">
        <f t="shared" si="89"/>
        <v>0.002269947614112675</v>
      </c>
      <c r="P531" s="90"/>
    </row>
    <row r="532" spans="1:16" ht="12.75">
      <c r="A532" s="145"/>
      <c r="B532" s="156"/>
      <c r="C532" s="4">
        <v>4400</v>
      </c>
      <c r="D532" s="4" t="s">
        <v>179</v>
      </c>
      <c r="E532" s="6">
        <v>2393.13</v>
      </c>
      <c r="F532" s="6">
        <v>2433</v>
      </c>
      <c r="G532" s="6">
        <v>2499</v>
      </c>
      <c r="H532" s="6">
        <v>1874.25</v>
      </c>
      <c r="I532" s="39">
        <f t="shared" si="91"/>
        <v>75</v>
      </c>
      <c r="J532" s="6">
        <v>2499</v>
      </c>
      <c r="K532" s="119">
        <f t="shared" si="88"/>
        <v>0.009383299143692736</v>
      </c>
      <c r="L532" s="29">
        <v>2433</v>
      </c>
      <c r="M532" s="80"/>
      <c r="N532" s="36">
        <f t="shared" si="87"/>
        <v>97.35894357743096</v>
      </c>
      <c r="O532" s="35">
        <f t="shared" si="89"/>
        <v>0.009809560470934524</v>
      </c>
      <c r="P532" s="90"/>
    </row>
    <row r="533" spans="1:16" ht="12.75">
      <c r="A533" s="145"/>
      <c r="B533" s="156"/>
      <c r="C533" s="4">
        <v>4410</v>
      </c>
      <c r="D533" s="4" t="s">
        <v>125</v>
      </c>
      <c r="E533" s="6"/>
      <c r="F533" s="6">
        <v>17</v>
      </c>
      <c r="G533" s="6">
        <v>17</v>
      </c>
      <c r="H533" s="6"/>
      <c r="I533" s="39">
        <f t="shared" si="91"/>
        <v>0</v>
      </c>
      <c r="J533" s="6">
        <v>17</v>
      </c>
      <c r="K533" s="119">
        <f t="shared" si="88"/>
        <v>6.383196696389617E-05</v>
      </c>
      <c r="L533" s="29">
        <v>17</v>
      </c>
      <c r="M533" s="80"/>
      <c r="N533" s="36">
        <f t="shared" si="87"/>
        <v>100</v>
      </c>
      <c r="O533" s="35">
        <f t="shared" si="89"/>
        <v>6.854193506201682E-05</v>
      </c>
      <c r="P533" s="90"/>
    </row>
    <row r="534" spans="1:16" ht="12.75">
      <c r="A534" s="145"/>
      <c r="B534" s="156"/>
      <c r="C534" s="4">
        <v>4440</v>
      </c>
      <c r="D534" s="4" t="s">
        <v>180</v>
      </c>
      <c r="E534" s="6">
        <v>1094</v>
      </c>
      <c r="F534" s="6">
        <v>1125</v>
      </c>
      <c r="G534" s="6">
        <v>1125</v>
      </c>
      <c r="H534" s="6">
        <v>1093.93</v>
      </c>
      <c r="I534" s="39">
        <f t="shared" si="91"/>
        <v>97.23822222222222</v>
      </c>
      <c r="J534" s="6">
        <v>1125</v>
      </c>
      <c r="K534" s="119">
        <f t="shared" si="88"/>
        <v>0.004224174284375481</v>
      </c>
      <c r="L534" s="29">
        <v>1155</v>
      </c>
      <c r="M534" s="80"/>
      <c r="N534" s="36">
        <f t="shared" si="87"/>
        <v>102.66666666666666</v>
      </c>
      <c r="O534" s="35">
        <f t="shared" si="89"/>
        <v>0.0046568197056840845</v>
      </c>
      <c r="P534" s="90"/>
    </row>
    <row r="535" spans="1:16" ht="24" customHeight="1">
      <c r="A535" s="145"/>
      <c r="B535" s="156"/>
      <c r="C535" s="4">
        <v>4700</v>
      </c>
      <c r="D535" s="4" t="s">
        <v>140</v>
      </c>
      <c r="E535" s="6">
        <v>230</v>
      </c>
      <c r="F535" s="6">
        <v>120</v>
      </c>
      <c r="G535" s="6">
        <v>54</v>
      </c>
      <c r="H535" s="6"/>
      <c r="I535" s="39">
        <f t="shared" si="91"/>
        <v>0</v>
      </c>
      <c r="J535" s="6">
        <v>54</v>
      </c>
      <c r="K535" s="119">
        <f t="shared" si="88"/>
        <v>0.00020276036565002313</v>
      </c>
      <c r="L535" s="29">
        <v>120</v>
      </c>
      <c r="M535" s="80"/>
      <c r="N535" s="36">
        <f t="shared" si="87"/>
        <v>222.22222222222223</v>
      </c>
      <c r="O535" s="35">
        <f t="shared" si="89"/>
        <v>0.00048382542396717756</v>
      </c>
      <c r="P535" s="90"/>
    </row>
    <row r="536" spans="1:16" s="13" customFormat="1" ht="12.75">
      <c r="A536" s="145"/>
      <c r="B536" s="147">
        <v>85204</v>
      </c>
      <c r="C536" s="3"/>
      <c r="D536" s="3" t="s">
        <v>317</v>
      </c>
      <c r="E536" s="5">
        <f aca="true" t="shared" si="92" ref="E536:M536">E538+E537</f>
        <v>0</v>
      </c>
      <c r="F536" s="5">
        <f t="shared" si="92"/>
        <v>10320</v>
      </c>
      <c r="G536" s="5">
        <f t="shared" si="92"/>
        <v>10320</v>
      </c>
      <c r="H536" s="5">
        <f t="shared" si="92"/>
        <v>7443.41</v>
      </c>
      <c r="I536" s="5">
        <f t="shared" si="92"/>
        <v>72.12606589147286</v>
      </c>
      <c r="J536" s="5">
        <f t="shared" si="92"/>
        <v>3050</v>
      </c>
      <c r="K536" s="120">
        <f t="shared" si="88"/>
        <v>0.011452205837640195</v>
      </c>
      <c r="L536" s="5">
        <f t="shared" si="92"/>
        <v>6300</v>
      </c>
      <c r="M536" s="45">
        <f t="shared" si="92"/>
        <v>0</v>
      </c>
      <c r="N536" s="38">
        <f t="shared" si="87"/>
        <v>206.55737704918033</v>
      </c>
      <c r="O536" s="67">
        <f t="shared" si="89"/>
        <v>0.025400834758276824</v>
      </c>
      <c r="P536" s="90"/>
    </row>
    <row r="537" spans="1:16" s="13" customFormat="1" ht="12.75">
      <c r="A537" s="145"/>
      <c r="B537" s="150"/>
      <c r="C537" s="4">
        <v>2900</v>
      </c>
      <c r="D537" s="4" t="s">
        <v>333</v>
      </c>
      <c r="E537" s="6"/>
      <c r="F537" s="6"/>
      <c r="G537" s="6"/>
      <c r="H537" s="6"/>
      <c r="I537" s="36"/>
      <c r="J537" s="6">
        <v>3050</v>
      </c>
      <c r="K537" s="119">
        <f t="shared" si="88"/>
        <v>0.011452205837640195</v>
      </c>
      <c r="L537" s="6">
        <v>6300</v>
      </c>
      <c r="M537" s="60"/>
      <c r="N537" s="36">
        <f t="shared" si="87"/>
        <v>206.55737704918033</v>
      </c>
      <c r="O537" s="35">
        <f t="shared" si="89"/>
        <v>0.025400834758276824</v>
      </c>
      <c r="P537" s="90"/>
    </row>
    <row r="538" spans="1:16" ht="17.25" customHeight="1">
      <c r="A538" s="145"/>
      <c r="B538" s="149"/>
      <c r="C538" s="4">
        <v>3110</v>
      </c>
      <c r="D538" s="4" t="s">
        <v>187</v>
      </c>
      <c r="E538" s="6"/>
      <c r="F538" s="6">
        <v>10320</v>
      </c>
      <c r="G538" s="6">
        <v>10320</v>
      </c>
      <c r="H538" s="6">
        <v>7443.41</v>
      </c>
      <c r="I538" s="39">
        <f>(H538/G538)*100</f>
        <v>72.12606589147286</v>
      </c>
      <c r="J538" s="6"/>
      <c r="K538" s="119">
        <f t="shared" si="88"/>
        <v>0</v>
      </c>
      <c r="L538" s="29"/>
      <c r="M538" s="80"/>
      <c r="N538" s="36"/>
      <c r="O538" s="35">
        <f t="shared" si="89"/>
        <v>0</v>
      </c>
      <c r="P538" s="90"/>
    </row>
    <row r="539" spans="1:16" ht="17.25" customHeight="1">
      <c r="A539" s="145"/>
      <c r="B539" s="135">
        <v>85206</v>
      </c>
      <c r="C539" s="3"/>
      <c r="D539" s="3" t="s">
        <v>337</v>
      </c>
      <c r="E539" s="5">
        <f aca="true" t="shared" si="93" ref="E539:M539">E540+E541+E542</f>
        <v>0</v>
      </c>
      <c r="F539" s="5">
        <f t="shared" si="93"/>
        <v>0</v>
      </c>
      <c r="G539" s="5">
        <f t="shared" si="93"/>
        <v>17450</v>
      </c>
      <c r="H539" s="5">
        <f t="shared" si="93"/>
        <v>2510.17</v>
      </c>
      <c r="I539" s="5">
        <f t="shared" si="93"/>
        <v>0</v>
      </c>
      <c r="J539" s="5">
        <f t="shared" si="93"/>
        <v>24075</v>
      </c>
      <c r="K539" s="120">
        <f t="shared" si="88"/>
        <v>0.09039732968563531</v>
      </c>
      <c r="L539" s="5">
        <f t="shared" si="93"/>
        <v>0</v>
      </c>
      <c r="M539" s="45">
        <f t="shared" si="93"/>
        <v>0</v>
      </c>
      <c r="N539" s="38"/>
      <c r="O539" s="35">
        <f t="shared" si="89"/>
        <v>0</v>
      </c>
      <c r="P539" s="90"/>
    </row>
    <row r="540" spans="1:16" ht="17.25" customHeight="1">
      <c r="A540" s="145"/>
      <c r="B540" s="151"/>
      <c r="C540" s="4">
        <v>4110</v>
      </c>
      <c r="D540" s="4" t="s">
        <v>84</v>
      </c>
      <c r="E540" s="6"/>
      <c r="F540" s="6"/>
      <c r="G540" s="6">
        <v>2510.95</v>
      </c>
      <c r="H540" s="6">
        <v>364.98</v>
      </c>
      <c r="I540" s="38"/>
      <c r="J540" s="6">
        <v>3464</v>
      </c>
      <c r="K540" s="119">
        <f t="shared" si="88"/>
        <v>0.013006701974290373</v>
      </c>
      <c r="L540" s="29"/>
      <c r="M540" s="80"/>
      <c r="N540" s="36"/>
      <c r="O540" s="35">
        <f t="shared" si="89"/>
        <v>0</v>
      </c>
      <c r="P540" s="90"/>
    </row>
    <row r="541" spans="1:16" ht="15" customHeight="1">
      <c r="A541" s="145"/>
      <c r="B541" s="151"/>
      <c r="C541" s="4">
        <v>4120</v>
      </c>
      <c r="D541" s="4" t="s">
        <v>106</v>
      </c>
      <c r="E541" s="6"/>
      <c r="F541" s="6"/>
      <c r="G541" s="6">
        <v>357.26</v>
      </c>
      <c r="H541" s="6">
        <v>25.69</v>
      </c>
      <c r="I541" s="38"/>
      <c r="J541" s="6">
        <v>493</v>
      </c>
      <c r="K541" s="119">
        <f t="shared" si="88"/>
        <v>0.0018511270419529888</v>
      </c>
      <c r="L541" s="29"/>
      <c r="M541" s="80"/>
      <c r="N541" s="36"/>
      <c r="O541" s="35">
        <f t="shared" si="89"/>
        <v>0</v>
      </c>
      <c r="P541" s="90"/>
    </row>
    <row r="542" spans="1:16" ht="17.25" customHeight="1">
      <c r="A542" s="145"/>
      <c r="B542" s="149"/>
      <c r="C542" s="4">
        <v>4170</v>
      </c>
      <c r="D542" s="4" t="s">
        <v>86</v>
      </c>
      <c r="E542" s="6"/>
      <c r="F542" s="6"/>
      <c r="G542" s="6">
        <v>14581.79</v>
      </c>
      <c r="H542" s="6">
        <v>2119.5</v>
      </c>
      <c r="I542" s="38"/>
      <c r="J542" s="6">
        <v>20118</v>
      </c>
      <c r="K542" s="119">
        <f t="shared" si="88"/>
        <v>0.07553950066939194</v>
      </c>
      <c r="L542" s="29"/>
      <c r="M542" s="80"/>
      <c r="N542" s="36"/>
      <c r="O542" s="35">
        <f t="shared" si="89"/>
        <v>0</v>
      </c>
      <c r="P542" s="90"/>
    </row>
    <row r="543" spans="1:16" ht="31.5">
      <c r="A543" s="145"/>
      <c r="B543" s="155">
        <v>85212</v>
      </c>
      <c r="C543" s="4"/>
      <c r="D543" s="3" t="s">
        <v>185</v>
      </c>
      <c r="E543" s="5" t="e">
        <f>E546+E547+E548+E549+E550+E551+E552+E553+E554+E556+E557+E558+E559+E560+E561+#REF!+E555</f>
        <v>#REF!</v>
      </c>
      <c r="F543" s="5" t="e">
        <f>F546+F547+F548+F549+F550+F551+F552+F553+F554+F556+F557+F558+F559+F560+F561+#REF!+F555</f>
        <v>#REF!</v>
      </c>
      <c r="G543" s="5" t="e">
        <f>G546+G547+G548+G549+G550+G551+G552+G553+G554+G556+G557+G558+G559+G560+G561+#REF!+G555</f>
        <v>#REF!</v>
      </c>
      <c r="H543" s="5" t="e">
        <f>H546+H547+H548+H549+H550+H551+H552+H553+H554+H556+H557+H558+H559+H560+H561+#REF!+H555</f>
        <v>#REF!</v>
      </c>
      <c r="I543" s="5" t="e">
        <f>I546+I547+I548+I549+I550+I551+I552+I553+I554+I556+I557+I558+I559+I560+I561+#REF!+I555</f>
        <v>#REF!</v>
      </c>
      <c r="J543" s="5">
        <f>J546+J547+J548+J549+J550+J551+J552+J553+J554+J556+J557+J558+J559+J560+J561+J555</f>
        <v>2979557</v>
      </c>
      <c r="K543" s="120">
        <f t="shared" si="88"/>
        <v>11.18770494064974</v>
      </c>
      <c r="L543" s="5">
        <f>L546+L547+L548+L549+L550+L551+L552+L553+L554+L556+L557+L558+L559+L560+L561+L555</f>
        <v>2931067</v>
      </c>
      <c r="M543" s="45" t="e">
        <f>M546+M547+M548+M549+M550+M551+M552+M553+M554+M556+M557+M558+M559+M560+M561+#REF!+M555</f>
        <v>#REF!</v>
      </c>
      <c r="N543" s="38">
        <f>(L543/J543)*100</f>
        <v>98.37257686293633</v>
      </c>
      <c r="O543" s="67">
        <f t="shared" si="89"/>
        <v>11.817706116260027</v>
      </c>
      <c r="P543" s="90"/>
    </row>
    <row r="544" spans="1:16" ht="16.5" customHeight="1">
      <c r="A544" s="145"/>
      <c r="B544" s="155"/>
      <c r="C544" s="4"/>
      <c r="D544" s="3" t="s">
        <v>279</v>
      </c>
      <c r="E544" s="5"/>
      <c r="F544" s="5"/>
      <c r="G544" s="5"/>
      <c r="H544" s="5"/>
      <c r="I544" s="39" t="e">
        <f aca="true" t="shared" si="94" ref="I544:I562">(H544/G544)*100</f>
        <v>#DIV/0!</v>
      </c>
      <c r="J544" s="5">
        <v>2950033</v>
      </c>
      <c r="K544" s="120">
        <f t="shared" si="88"/>
        <v>11.076847588141382</v>
      </c>
      <c r="L544" s="5">
        <v>2894000</v>
      </c>
      <c r="M544" s="45"/>
      <c r="N544" s="38">
        <f aca="true" t="shared" si="95" ref="N544:N564">(L544/J544)*100</f>
        <v>98.10059751873962</v>
      </c>
      <c r="O544" s="67">
        <f t="shared" si="89"/>
        <v>11.668256474675099</v>
      </c>
      <c r="P544" s="90"/>
    </row>
    <row r="545" spans="1:16" ht="16.5" customHeight="1">
      <c r="A545" s="145"/>
      <c r="B545" s="155"/>
      <c r="C545" s="4"/>
      <c r="D545" s="3" t="s">
        <v>280</v>
      </c>
      <c r="E545" s="5"/>
      <c r="F545" s="5"/>
      <c r="G545" s="5"/>
      <c r="H545" s="5"/>
      <c r="I545" s="39" t="e">
        <f t="shared" si="94"/>
        <v>#DIV/0!</v>
      </c>
      <c r="J545" s="5">
        <v>29524</v>
      </c>
      <c r="K545" s="120">
        <f t="shared" si="88"/>
        <v>0.11085735250835708</v>
      </c>
      <c r="L545" s="5">
        <v>37067</v>
      </c>
      <c r="M545" s="81"/>
      <c r="N545" s="38">
        <f t="shared" si="95"/>
        <v>125.54870613737977</v>
      </c>
      <c r="O545" s="67">
        <f t="shared" si="89"/>
        <v>0.1494496415849281</v>
      </c>
      <c r="P545" s="90"/>
    </row>
    <row r="546" spans="1:16" ht="12.75">
      <c r="A546" s="145"/>
      <c r="B546" s="155"/>
      <c r="C546" s="4">
        <v>3020</v>
      </c>
      <c r="D546" s="4" t="s">
        <v>186</v>
      </c>
      <c r="E546" s="6">
        <v>575.24</v>
      </c>
      <c r="F546" s="6">
        <v>470</v>
      </c>
      <c r="G546" s="6">
        <v>733</v>
      </c>
      <c r="H546" s="6">
        <v>279.43</v>
      </c>
      <c r="I546" s="39">
        <f t="shared" si="94"/>
        <v>38.12141882673943</v>
      </c>
      <c r="J546" s="6">
        <v>733</v>
      </c>
      <c r="K546" s="119">
        <f t="shared" si="88"/>
        <v>0.0027522842226197584</v>
      </c>
      <c r="L546" s="29">
        <v>953</v>
      </c>
      <c r="M546" s="80"/>
      <c r="N546" s="36">
        <f t="shared" si="95"/>
        <v>130.01364256480218</v>
      </c>
      <c r="O546" s="35">
        <f t="shared" si="89"/>
        <v>0.003842380242006002</v>
      </c>
      <c r="P546" s="90"/>
    </row>
    <row r="547" spans="1:16" ht="12.75">
      <c r="A547" s="145"/>
      <c r="B547" s="155"/>
      <c r="C547" s="4">
        <v>3110</v>
      </c>
      <c r="D547" s="4" t="s">
        <v>187</v>
      </c>
      <c r="E547" s="6">
        <v>2911068.04</v>
      </c>
      <c r="F547" s="6">
        <v>2870230</v>
      </c>
      <c r="G547" s="6">
        <v>2776791</v>
      </c>
      <c r="H547" s="6">
        <v>2095725.29</v>
      </c>
      <c r="I547" s="39">
        <f t="shared" si="94"/>
        <v>75.47292144061257</v>
      </c>
      <c r="J547" s="6">
        <v>2861532</v>
      </c>
      <c r="K547" s="119">
        <f t="shared" si="88"/>
        <v>10.744542122948925</v>
      </c>
      <c r="L547" s="29">
        <v>2807180</v>
      </c>
      <c r="M547" s="80"/>
      <c r="N547" s="36">
        <f t="shared" si="95"/>
        <v>98.10059786156506</v>
      </c>
      <c r="O547" s="35">
        <f t="shared" si="89"/>
        <v>11.318208780434846</v>
      </c>
      <c r="P547" s="90"/>
    </row>
    <row r="548" spans="1:16" ht="12.75">
      <c r="A548" s="145"/>
      <c r="B548" s="155"/>
      <c r="C548" s="4">
        <v>4010</v>
      </c>
      <c r="D548" s="4" t="s">
        <v>188</v>
      </c>
      <c r="E548" s="6">
        <v>60511.59</v>
      </c>
      <c r="F548" s="6">
        <v>65397</v>
      </c>
      <c r="G548" s="6">
        <v>64060</v>
      </c>
      <c r="H548" s="6">
        <v>46315.27</v>
      </c>
      <c r="I548" s="39">
        <f t="shared" si="94"/>
        <v>72.29982828598189</v>
      </c>
      <c r="J548" s="6">
        <v>64060</v>
      </c>
      <c r="K548" s="119">
        <f t="shared" si="88"/>
        <v>0.2405338708063052</v>
      </c>
      <c r="L548" s="29">
        <v>67390</v>
      </c>
      <c r="M548" s="80"/>
      <c r="N548" s="36">
        <f t="shared" si="95"/>
        <v>105.19825163908835</v>
      </c>
      <c r="O548" s="35">
        <f t="shared" si="89"/>
        <v>0.27170829434290084</v>
      </c>
      <c r="P548" s="90"/>
    </row>
    <row r="549" spans="1:16" ht="12.75">
      <c r="A549" s="145"/>
      <c r="B549" s="155"/>
      <c r="C549" s="4">
        <v>4040</v>
      </c>
      <c r="D549" s="4" t="s">
        <v>97</v>
      </c>
      <c r="E549" s="6">
        <v>4440.67</v>
      </c>
      <c r="F549" s="6">
        <v>4930</v>
      </c>
      <c r="G549" s="6">
        <v>4917</v>
      </c>
      <c r="H549" s="6">
        <v>4916.75</v>
      </c>
      <c r="I549" s="39">
        <f t="shared" si="94"/>
        <v>99.99491559894244</v>
      </c>
      <c r="J549" s="6">
        <v>4917</v>
      </c>
      <c r="K549" s="119">
        <f t="shared" si="88"/>
        <v>0.01846245773891044</v>
      </c>
      <c r="L549" s="29">
        <v>5008</v>
      </c>
      <c r="M549" s="80"/>
      <c r="N549" s="36">
        <f t="shared" si="95"/>
        <v>101.85072198495018</v>
      </c>
      <c r="O549" s="35">
        <f t="shared" si="89"/>
        <v>0.020191647693563543</v>
      </c>
      <c r="P549" s="90"/>
    </row>
    <row r="550" spans="1:16" ht="12.75">
      <c r="A550" s="145"/>
      <c r="B550" s="155"/>
      <c r="C550" s="4">
        <v>4110</v>
      </c>
      <c r="D550" s="4" t="s">
        <v>189</v>
      </c>
      <c r="E550" s="6">
        <v>9776.62</v>
      </c>
      <c r="F550" s="6">
        <v>10753</v>
      </c>
      <c r="G550" s="6">
        <v>11689</v>
      </c>
      <c r="H550" s="6">
        <v>8365.56</v>
      </c>
      <c r="I550" s="39">
        <f t="shared" si="94"/>
        <v>71.56779878518265</v>
      </c>
      <c r="J550" s="6">
        <v>11689</v>
      </c>
      <c r="K550" s="119">
        <f t="shared" si="88"/>
        <v>0.043890109520057785</v>
      </c>
      <c r="L550" s="29">
        <v>12467</v>
      </c>
      <c r="M550" s="80"/>
      <c r="N550" s="36">
        <f t="shared" si="95"/>
        <v>106.65583026777313</v>
      </c>
      <c r="O550" s="35">
        <f t="shared" si="89"/>
        <v>0.05026542967165668</v>
      </c>
      <c r="P550" s="90"/>
    </row>
    <row r="551" spans="1:16" ht="12.75">
      <c r="A551" s="145"/>
      <c r="B551" s="155"/>
      <c r="C551" s="4">
        <v>4120</v>
      </c>
      <c r="D551" s="4" t="s">
        <v>106</v>
      </c>
      <c r="E551" s="6">
        <v>1043.12</v>
      </c>
      <c r="F551" s="6">
        <v>1723</v>
      </c>
      <c r="G551" s="6">
        <v>1314</v>
      </c>
      <c r="H551" s="6">
        <v>839.35</v>
      </c>
      <c r="I551" s="39">
        <f t="shared" si="94"/>
        <v>63.87747336377474</v>
      </c>
      <c r="J551" s="6">
        <v>1314</v>
      </c>
      <c r="K551" s="119">
        <f t="shared" si="88"/>
        <v>0.004933835564150562</v>
      </c>
      <c r="L551" s="29">
        <v>1774</v>
      </c>
      <c r="M551" s="80"/>
      <c r="N551" s="36">
        <f t="shared" si="95"/>
        <v>135.0076103500761</v>
      </c>
      <c r="O551" s="35">
        <f t="shared" si="89"/>
        <v>0.007152552517648108</v>
      </c>
      <c r="P551" s="90"/>
    </row>
    <row r="552" spans="1:16" ht="12.75">
      <c r="A552" s="145"/>
      <c r="B552" s="155"/>
      <c r="C552" s="4">
        <v>4210</v>
      </c>
      <c r="D552" s="4" t="s">
        <v>175</v>
      </c>
      <c r="E552" s="6">
        <v>5987.36</v>
      </c>
      <c r="F552" s="6">
        <v>7915</v>
      </c>
      <c r="G552" s="6">
        <v>2069</v>
      </c>
      <c r="H552" s="6">
        <v>1679.48</v>
      </c>
      <c r="I552" s="39">
        <f t="shared" si="94"/>
        <v>81.17351377477043</v>
      </c>
      <c r="J552" s="6">
        <v>2467</v>
      </c>
      <c r="K552" s="119">
        <f t="shared" si="88"/>
        <v>0.009263144852937168</v>
      </c>
      <c r="L552" s="29">
        <v>2534</v>
      </c>
      <c r="M552" s="80"/>
      <c r="N552" s="36">
        <f t="shared" si="95"/>
        <v>102.71584920956627</v>
      </c>
      <c r="O552" s="35">
        <f t="shared" si="89"/>
        <v>0.010216780202773565</v>
      </c>
      <c r="P552" s="90"/>
    </row>
    <row r="553" spans="1:16" ht="12.75">
      <c r="A553" s="145"/>
      <c r="B553" s="155"/>
      <c r="C553" s="4">
        <v>4260</v>
      </c>
      <c r="D553" s="4" t="s">
        <v>75</v>
      </c>
      <c r="E553" s="6">
        <v>2974.01</v>
      </c>
      <c r="F553" s="6">
        <v>3552</v>
      </c>
      <c r="G553" s="6">
        <v>4013</v>
      </c>
      <c r="H553" s="6">
        <v>3048.69</v>
      </c>
      <c r="I553" s="39">
        <f t="shared" si="94"/>
        <v>75.97034637428358</v>
      </c>
      <c r="J553" s="6">
        <v>4013</v>
      </c>
      <c r="K553" s="119">
        <f t="shared" si="88"/>
        <v>0.015068099025065607</v>
      </c>
      <c r="L553" s="29">
        <v>4122</v>
      </c>
      <c r="M553" s="80"/>
      <c r="N553" s="36">
        <f t="shared" si="95"/>
        <v>102.71617243957138</v>
      </c>
      <c r="O553" s="35">
        <f t="shared" si="89"/>
        <v>0.01661940331327255</v>
      </c>
      <c r="P553" s="90"/>
    </row>
    <row r="554" spans="1:16" ht="12.75">
      <c r="A554" s="145"/>
      <c r="B554" s="155"/>
      <c r="C554" s="4">
        <v>4270</v>
      </c>
      <c r="D554" s="4" t="s">
        <v>77</v>
      </c>
      <c r="E554" s="6">
        <v>233</v>
      </c>
      <c r="F554" s="6">
        <v>841</v>
      </c>
      <c r="G554" s="6">
        <v>586</v>
      </c>
      <c r="H554" s="6">
        <v>155.97</v>
      </c>
      <c r="I554" s="39">
        <f t="shared" si="94"/>
        <v>26.616040955631398</v>
      </c>
      <c r="J554" s="6">
        <v>742</v>
      </c>
      <c r="K554" s="119">
        <f t="shared" si="88"/>
        <v>0.002786077616894762</v>
      </c>
      <c r="L554" s="29">
        <v>762</v>
      </c>
      <c r="M554" s="80"/>
      <c r="N554" s="36">
        <f t="shared" si="95"/>
        <v>102.69541778975741</v>
      </c>
      <c r="O554" s="35">
        <f t="shared" si="89"/>
        <v>0.003072291442191577</v>
      </c>
      <c r="P554" s="90"/>
    </row>
    <row r="555" spans="1:16" ht="12.75">
      <c r="A555" s="145"/>
      <c r="B555" s="155"/>
      <c r="C555" s="4">
        <v>4280</v>
      </c>
      <c r="D555" s="4" t="s">
        <v>91</v>
      </c>
      <c r="E555" s="6">
        <v>60</v>
      </c>
      <c r="F555" s="6">
        <v>20</v>
      </c>
      <c r="G555" s="6">
        <v>88</v>
      </c>
      <c r="H555" s="6">
        <v>87.5</v>
      </c>
      <c r="I555" s="39">
        <f t="shared" si="94"/>
        <v>99.43181818181817</v>
      </c>
      <c r="J555" s="6">
        <v>88</v>
      </c>
      <c r="K555" s="119">
        <f t="shared" si="88"/>
        <v>0.00033042429957781547</v>
      </c>
      <c r="L555" s="29">
        <v>120</v>
      </c>
      <c r="M555" s="80"/>
      <c r="N555" s="36">
        <f t="shared" si="95"/>
        <v>136.36363636363635</v>
      </c>
      <c r="O555" s="35">
        <f t="shared" si="89"/>
        <v>0.00048382542396717756</v>
      </c>
      <c r="P555" s="90"/>
    </row>
    <row r="556" spans="1:16" ht="12.75">
      <c r="A556" s="145"/>
      <c r="B556" s="155"/>
      <c r="C556" s="4">
        <v>4300</v>
      </c>
      <c r="D556" s="4" t="s">
        <v>178</v>
      </c>
      <c r="E556" s="6">
        <v>18916.15</v>
      </c>
      <c r="F556" s="6">
        <v>15510</v>
      </c>
      <c r="G556" s="6">
        <v>15017</v>
      </c>
      <c r="H556" s="6">
        <v>14467</v>
      </c>
      <c r="I556" s="39">
        <f t="shared" si="94"/>
        <v>96.33748418459079</v>
      </c>
      <c r="J556" s="6">
        <v>19562</v>
      </c>
      <c r="K556" s="119">
        <f t="shared" si="88"/>
        <v>0.07345181986751394</v>
      </c>
      <c r="L556" s="29">
        <v>20090</v>
      </c>
      <c r="M556" s="80"/>
      <c r="N556" s="36">
        <f t="shared" si="95"/>
        <v>102.69911052039669</v>
      </c>
      <c r="O556" s="35">
        <f t="shared" si="89"/>
        <v>0.08100043972917165</v>
      </c>
      <c r="P556" s="90"/>
    </row>
    <row r="557" spans="1:16" ht="22.5">
      <c r="A557" s="145"/>
      <c r="B557" s="155"/>
      <c r="C557" s="4">
        <v>4370</v>
      </c>
      <c r="D557" s="4" t="s">
        <v>135</v>
      </c>
      <c r="E557" s="6">
        <v>960.77</v>
      </c>
      <c r="F557" s="6">
        <v>1750</v>
      </c>
      <c r="G557" s="6">
        <v>1750</v>
      </c>
      <c r="H557" s="6">
        <v>681.44</v>
      </c>
      <c r="I557" s="39">
        <f t="shared" si="94"/>
        <v>38.93942857142857</v>
      </c>
      <c r="J557" s="6">
        <v>1750</v>
      </c>
      <c r="K557" s="119">
        <f t="shared" si="88"/>
        <v>0.006570937775695193</v>
      </c>
      <c r="L557" s="29">
        <v>1797</v>
      </c>
      <c r="M557" s="80"/>
      <c r="N557" s="36">
        <f t="shared" si="95"/>
        <v>102.6857142857143</v>
      </c>
      <c r="O557" s="35">
        <f t="shared" si="89"/>
        <v>0.007245285723908484</v>
      </c>
      <c r="P557" s="90"/>
    </row>
    <row r="558" spans="1:16" ht="12.75">
      <c r="A558" s="145"/>
      <c r="B558" s="155"/>
      <c r="C558" s="4">
        <v>4400</v>
      </c>
      <c r="D558" s="4" t="s">
        <v>179</v>
      </c>
      <c r="E558" s="6">
        <v>1676.28</v>
      </c>
      <c r="F558" s="6">
        <v>1716</v>
      </c>
      <c r="G558" s="6">
        <v>1751</v>
      </c>
      <c r="H558" s="6">
        <v>1312.94</v>
      </c>
      <c r="I558" s="39">
        <f t="shared" si="94"/>
        <v>74.98229583095375</v>
      </c>
      <c r="J558" s="6">
        <v>1751</v>
      </c>
      <c r="K558" s="119">
        <f t="shared" si="88"/>
        <v>0.006574692597281305</v>
      </c>
      <c r="L558" s="29">
        <v>1798</v>
      </c>
      <c r="M558" s="80"/>
      <c r="N558" s="36">
        <f t="shared" si="95"/>
        <v>102.68418046830384</v>
      </c>
      <c r="O558" s="35">
        <f t="shared" si="89"/>
        <v>0.007249317602441544</v>
      </c>
      <c r="P558" s="90"/>
    </row>
    <row r="559" spans="1:16" ht="12.75">
      <c r="A559" s="145"/>
      <c r="B559" s="155"/>
      <c r="C559" s="4">
        <v>4410</v>
      </c>
      <c r="D559" s="4" t="s">
        <v>125</v>
      </c>
      <c r="E559" s="6">
        <v>89.8</v>
      </c>
      <c r="F559" s="6">
        <v>208</v>
      </c>
      <c r="G559" s="6">
        <v>208</v>
      </c>
      <c r="H559" s="6">
        <v>114.3</v>
      </c>
      <c r="I559" s="39">
        <f t="shared" si="94"/>
        <v>54.95192307692307</v>
      </c>
      <c r="J559" s="6">
        <v>208</v>
      </c>
      <c r="K559" s="119">
        <f t="shared" si="88"/>
        <v>0.0007810028899112002</v>
      </c>
      <c r="L559" s="29">
        <v>213</v>
      </c>
      <c r="M559" s="80"/>
      <c r="N559" s="36">
        <f t="shared" si="95"/>
        <v>102.40384615384615</v>
      </c>
      <c r="O559" s="35">
        <f t="shared" si="89"/>
        <v>0.0008587901275417402</v>
      </c>
      <c r="P559" s="90"/>
    </row>
    <row r="560" spans="1:16" ht="12.75">
      <c r="A560" s="145"/>
      <c r="B560" s="155"/>
      <c r="C560" s="4">
        <v>4440</v>
      </c>
      <c r="D560" s="4" t="s">
        <v>180</v>
      </c>
      <c r="E560" s="6">
        <v>2735</v>
      </c>
      <c r="F560" s="6">
        <v>2812</v>
      </c>
      <c r="G560" s="6">
        <v>2812</v>
      </c>
      <c r="H560" s="6">
        <v>2734.82</v>
      </c>
      <c r="I560" s="39">
        <f t="shared" si="94"/>
        <v>97.25533428165008</v>
      </c>
      <c r="J560" s="6">
        <v>2812</v>
      </c>
      <c r="K560" s="119">
        <f t="shared" si="88"/>
        <v>0.010558558300145647</v>
      </c>
      <c r="L560" s="29">
        <v>2888</v>
      </c>
      <c r="M560" s="80"/>
      <c r="N560" s="36">
        <f t="shared" si="95"/>
        <v>102.7027027027027</v>
      </c>
      <c r="O560" s="35">
        <f t="shared" si="89"/>
        <v>0.01164406520347674</v>
      </c>
      <c r="P560" s="90"/>
    </row>
    <row r="561" spans="1:16" ht="22.5">
      <c r="A561" s="145"/>
      <c r="B561" s="155"/>
      <c r="C561" s="4">
        <v>4700</v>
      </c>
      <c r="D561" s="4" t="s">
        <v>140</v>
      </c>
      <c r="E561" s="6">
        <v>1243</v>
      </c>
      <c r="F561" s="6">
        <v>1803</v>
      </c>
      <c r="G561" s="6">
        <v>1919</v>
      </c>
      <c r="H561" s="6">
        <v>1499.2</v>
      </c>
      <c r="I561" s="39">
        <f t="shared" si="94"/>
        <v>78.12402292860865</v>
      </c>
      <c r="J561" s="6">
        <v>1919</v>
      </c>
      <c r="K561" s="119">
        <f t="shared" si="88"/>
        <v>0.007205502623748044</v>
      </c>
      <c r="L561" s="29">
        <v>1971</v>
      </c>
      <c r="M561" s="80"/>
      <c r="N561" s="36">
        <f t="shared" si="95"/>
        <v>102.7097446586764</v>
      </c>
      <c r="O561" s="35">
        <f t="shared" si="89"/>
        <v>0.007946832588660892</v>
      </c>
      <c r="P561" s="90"/>
    </row>
    <row r="562" spans="1:16" ht="31.5">
      <c r="A562" s="145"/>
      <c r="B562" s="155">
        <v>85213</v>
      </c>
      <c r="C562" s="4"/>
      <c r="D562" s="3" t="s">
        <v>190</v>
      </c>
      <c r="E562" s="5">
        <f>E565</f>
        <v>28467.37</v>
      </c>
      <c r="F562" s="5">
        <f>F565</f>
        <v>28638</v>
      </c>
      <c r="G562" s="5">
        <f>G565</f>
        <v>31083</v>
      </c>
      <c r="H562" s="5">
        <f>H565</f>
        <v>22733.75</v>
      </c>
      <c r="I562" s="39">
        <f t="shared" si="94"/>
        <v>73.13885403596821</v>
      </c>
      <c r="J562" s="5">
        <f>J565</f>
        <v>32299</v>
      </c>
      <c r="K562" s="120">
        <f t="shared" si="88"/>
        <v>0.1212769824098166</v>
      </c>
      <c r="L562" s="5">
        <f>L565</f>
        <v>30981</v>
      </c>
      <c r="M562" s="45">
        <f>M565</f>
        <v>0</v>
      </c>
      <c r="N562" s="38">
        <f t="shared" si="95"/>
        <v>95.91937830892597</v>
      </c>
      <c r="O562" s="67">
        <f t="shared" si="89"/>
        <v>0.12491162883272607</v>
      </c>
      <c r="P562" s="90"/>
    </row>
    <row r="563" spans="1:16" ht="12.75">
      <c r="A563" s="145"/>
      <c r="B563" s="155"/>
      <c r="C563" s="4"/>
      <c r="D563" s="4" t="s">
        <v>301</v>
      </c>
      <c r="E563" s="6"/>
      <c r="F563" s="6"/>
      <c r="G563" s="6"/>
      <c r="H563" s="6"/>
      <c r="I563" s="36"/>
      <c r="J563" s="6">
        <v>20786</v>
      </c>
      <c r="K563" s="119">
        <f t="shared" si="88"/>
        <v>0.07804772148891445</v>
      </c>
      <c r="L563" s="6">
        <v>25607</v>
      </c>
      <c r="M563" s="60"/>
      <c r="N563" s="36">
        <f t="shared" si="95"/>
        <v>123.1934956220533</v>
      </c>
      <c r="O563" s="35">
        <f t="shared" si="89"/>
        <v>0.10324431359606263</v>
      </c>
      <c r="P563" s="90"/>
    </row>
    <row r="564" spans="1:16" ht="12.75">
      <c r="A564" s="145"/>
      <c r="B564" s="155"/>
      <c r="C564" s="4"/>
      <c r="D564" s="4" t="s">
        <v>302</v>
      </c>
      <c r="E564" s="6"/>
      <c r="F564" s="6"/>
      <c r="G564" s="6"/>
      <c r="H564" s="6"/>
      <c r="I564" s="36"/>
      <c r="J564" s="6">
        <v>11513</v>
      </c>
      <c r="K564" s="119">
        <f t="shared" si="88"/>
        <v>0.04322926092090215</v>
      </c>
      <c r="L564" s="6">
        <v>5374</v>
      </c>
      <c r="M564" s="60"/>
      <c r="N564" s="36">
        <f t="shared" si="95"/>
        <v>46.67766872231391</v>
      </c>
      <c r="O564" s="35">
        <f t="shared" si="89"/>
        <v>0.021667315236663435</v>
      </c>
      <c r="P564" s="90"/>
    </row>
    <row r="565" spans="1:16" ht="12.75">
      <c r="A565" s="145"/>
      <c r="B565" s="155"/>
      <c r="C565" s="4">
        <v>4130</v>
      </c>
      <c r="D565" s="4" t="s">
        <v>191</v>
      </c>
      <c r="E565" s="6">
        <v>28467.37</v>
      </c>
      <c r="F565" s="6">
        <v>28638</v>
      </c>
      <c r="G565" s="6">
        <v>31083</v>
      </c>
      <c r="H565" s="6">
        <v>22733.75</v>
      </c>
      <c r="I565" s="39">
        <f aca="true" t="shared" si="96" ref="I565:I571">(H565/G565)*100</f>
        <v>73.13885403596821</v>
      </c>
      <c r="J565" s="6">
        <v>32299</v>
      </c>
      <c r="K565" s="119">
        <f t="shared" si="88"/>
        <v>0.1212769824098166</v>
      </c>
      <c r="L565" s="29">
        <v>30981</v>
      </c>
      <c r="M565" s="80"/>
      <c r="N565" s="36">
        <f aca="true" t="shared" si="97" ref="N565:N571">(L565/J565)*100</f>
        <v>95.91937830892597</v>
      </c>
      <c r="O565" s="35">
        <f t="shared" si="89"/>
        <v>0.12491162883272607</v>
      </c>
      <c r="P565" s="90"/>
    </row>
    <row r="566" spans="1:16" ht="21.75">
      <c r="A566" s="145"/>
      <c r="B566" s="155">
        <v>85214</v>
      </c>
      <c r="C566" s="4"/>
      <c r="D566" s="3" t="s">
        <v>299</v>
      </c>
      <c r="E566" s="5" t="e">
        <f>E567+#REF!</f>
        <v>#REF!</v>
      </c>
      <c r="F566" s="5" t="e">
        <f>F567+#REF!</f>
        <v>#REF!</v>
      </c>
      <c r="G566" s="5" t="e">
        <f>G567+#REF!</f>
        <v>#REF!</v>
      </c>
      <c r="H566" s="5" t="e">
        <f>H567+#REF!</f>
        <v>#REF!</v>
      </c>
      <c r="I566" s="39" t="e">
        <f t="shared" si="96"/>
        <v>#REF!</v>
      </c>
      <c r="J566" s="5">
        <f>J567</f>
        <v>102500</v>
      </c>
      <c r="K566" s="120">
        <f t="shared" si="88"/>
        <v>0.38486921257643275</v>
      </c>
      <c r="L566" s="5">
        <f>L567</f>
        <v>69796</v>
      </c>
      <c r="M566" s="45" t="e">
        <f>M567+#REF!</f>
        <v>#REF!</v>
      </c>
      <c r="N566" s="38">
        <f t="shared" si="97"/>
        <v>68.09365853658537</v>
      </c>
      <c r="O566" s="67">
        <f t="shared" si="89"/>
        <v>0.2814089940934427</v>
      </c>
      <c r="P566" s="90"/>
    </row>
    <row r="567" spans="1:16" ht="12.75">
      <c r="A567" s="145"/>
      <c r="B567" s="155"/>
      <c r="C567" s="4">
        <v>3110</v>
      </c>
      <c r="D567" s="4" t="s">
        <v>187</v>
      </c>
      <c r="E567" s="6">
        <v>86834.09</v>
      </c>
      <c r="F567" s="6">
        <v>75500</v>
      </c>
      <c r="G567" s="6">
        <v>91667</v>
      </c>
      <c r="H567" s="6">
        <v>37544.92</v>
      </c>
      <c r="I567" s="39">
        <f t="shared" si="96"/>
        <v>40.95794560747051</v>
      </c>
      <c r="J567" s="6">
        <v>102500</v>
      </c>
      <c r="K567" s="119">
        <f t="shared" si="88"/>
        <v>0.38486921257643275</v>
      </c>
      <c r="L567" s="29">
        <v>69796</v>
      </c>
      <c r="M567" s="80"/>
      <c r="N567" s="36">
        <f t="shared" si="97"/>
        <v>68.09365853658537</v>
      </c>
      <c r="O567" s="35">
        <f t="shared" si="89"/>
        <v>0.2814089940934427</v>
      </c>
      <c r="P567" s="90"/>
    </row>
    <row r="568" spans="1:16" ht="12.75">
      <c r="A568" s="145"/>
      <c r="B568" s="155">
        <v>85215</v>
      </c>
      <c r="C568" s="4"/>
      <c r="D568" s="3" t="s">
        <v>193</v>
      </c>
      <c r="E568" s="5">
        <f>E569</f>
        <v>99234.22</v>
      </c>
      <c r="F568" s="5">
        <f>F569</f>
        <v>115000</v>
      </c>
      <c r="G568" s="5">
        <f>G569</f>
        <v>115000</v>
      </c>
      <c r="H568" s="5">
        <f>H569</f>
        <v>79549.08</v>
      </c>
      <c r="I568" s="39">
        <f t="shared" si="96"/>
        <v>69.17311304347827</v>
      </c>
      <c r="J568" s="5">
        <f>J569</f>
        <v>108100</v>
      </c>
      <c r="K568" s="120">
        <f t="shared" si="88"/>
        <v>0.4058962134586574</v>
      </c>
      <c r="L568" s="5">
        <f>L569</f>
        <v>107000</v>
      </c>
      <c r="M568" s="45">
        <f>M569</f>
        <v>0</v>
      </c>
      <c r="N568" s="38">
        <f t="shared" si="97"/>
        <v>98.98242368177613</v>
      </c>
      <c r="O568" s="67">
        <f t="shared" si="89"/>
        <v>0.4314110030374</v>
      </c>
      <c r="P568" s="90"/>
    </row>
    <row r="569" spans="1:16" ht="12.75">
      <c r="A569" s="145"/>
      <c r="B569" s="155"/>
      <c r="C569" s="4">
        <v>3110</v>
      </c>
      <c r="D569" s="4" t="s">
        <v>187</v>
      </c>
      <c r="E569" s="6">
        <v>99234.22</v>
      </c>
      <c r="F569" s="6">
        <v>115000</v>
      </c>
      <c r="G569" s="6">
        <v>115000</v>
      </c>
      <c r="H569" s="6">
        <v>79549.08</v>
      </c>
      <c r="I569" s="39">
        <f t="shared" si="96"/>
        <v>69.17311304347827</v>
      </c>
      <c r="J569" s="6">
        <v>108100</v>
      </c>
      <c r="K569" s="119">
        <f t="shared" si="88"/>
        <v>0.4058962134586574</v>
      </c>
      <c r="L569" s="29">
        <v>107000</v>
      </c>
      <c r="M569" s="80"/>
      <c r="N569" s="36">
        <f t="shared" si="97"/>
        <v>98.98242368177613</v>
      </c>
      <c r="O569" s="35">
        <f t="shared" si="89"/>
        <v>0.4314110030374</v>
      </c>
      <c r="P569" s="90"/>
    </row>
    <row r="570" spans="1:16" ht="12.75">
      <c r="A570" s="145"/>
      <c r="B570" s="42">
        <v>85216</v>
      </c>
      <c r="C570" s="3"/>
      <c r="D570" s="3" t="s">
        <v>288</v>
      </c>
      <c r="E570" s="5">
        <f>E571</f>
        <v>213468.06</v>
      </c>
      <c r="F570" s="5">
        <f>F571</f>
        <v>215896</v>
      </c>
      <c r="G570" s="5">
        <f>G571</f>
        <v>258622</v>
      </c>
      <c r="H570" s="5">
        <f>H571</f>
        <v>164929.66</v>
      </c>
      <c r="I570" s="39">
        <f t="shared" si="96"/>
        <v>63.77247875277432</v>
      </c>
      <c r="J570" s="5">
        <f>J571</f>
        <v>215896</v>
      </c>
      <c r="K570" s="120">
        <f t="shared" si="88"/>
        <v>0.8106509611551368</v>
      </c>
      <c r="L570" s="5">
        <f>L571</f>
        <v>284000</v>
      </c>
      <c r="M570" s="45">
        <f>M571</f>
        <v>0</v>
      </c>
      <c r="N570" s="38">
        <f t="shared" si="97"/>
        <v>131.54481787527328</v>
      </c>
      <c r="O570" s="67">
        <f t="shared" si="89"/>
        <v>1.145053503388987</v>
      </c>
      <c r="P570" s="90"/>
    </row>
    <row r="571" spans="1:16" ht="12.75">
      <c r="A571" s="145"/>
      <c r="B571" s="42"/>
      <c r="C571" s="4">
        <v>3110</v>
      </c>
      <c r="D571" s="4" t="s">
        <v>187</v>
      </c>
      <c r="E571" s="6">
        <v>213468.06</v>
      </c>
      <c r="F571" s="6">
        <v>215896</v>
      </c>
      <c r="G571" s="6">
        <v>258622</v>
      </c>
      <c r="H571" s="6">
        <v>164929.66</v>
      </c>
      <c r="I571" s="39">
        <f t="shared" si="96"/>
        <v>63.77247875277432</v>
      </c>
      <c r="J571" s="6">
        <v>215896</v>
      </c>
      <c r="K571" s="119">
        <f t="shared" si="88"/>
        <v>0.8106509611551368</v>
      </c>
      <c r="L571" s="29">
        <v>284000</v>
      </c>
      <c r="M571" s="80"/>
      <c r="N571" s="36">
        <f t="shared" si="97"/>
        <v>131.54481787527328</v>
      </c>
      <c r="O571" s="35">
        <f t="shared" si="89"/>
        <v>1.145053503388987</v>
      </c>
      <c r="P571" s="90"/>
    </row>
    <row r="572" spans="1:16" ht="12.75">
      <c r="A572" s="145"/>
      <c r="B572" s="147">
        <v>85219</v>
      </c>
      <c r="C572" s="4"/>
      <c r="D572" s="3" t="s">
        <v>27</v>
      </c>
      <c r="E572" s="5">
        <f aca="true" t="shared" si="98" ref="E572:M572">E573+E574+E575+E576+E577+E578+E579+E580+E581+E582+E583+E584+E586+E588+E589+E590+E591+E592+E593+E587+E585</f>
        <v>494194.55000000005</v>
      </c>
      <c r="F572" s="5">
        <f t="shared" si="98"/>
        <v>535016</v>
      </c>
      <c r="G572" s="5">
        <f t="shared" si="98"/>
        <v>533652</v>
      </c>
      <c r="H572" s="5">
        <f t="shared" si="98"/>
        <v>375955.78</v>
      </c>
      <c r="I572" s="5">
        <f t="shared" si="98"/>
        <v>1299.4392662302996</v>
      </c>
      <c r="J572" s="5">
        <f t="shared" si="98"/>
        <v>532844</v>
      </c>
      <c r="K572" s="120">
        <f t="shared" si="88"/>
        <v>2.000734153230017</v>
      </c>
      <c r="L572" s="5">
        <f t="shared" si="98"/>
        <v>556006</v>
      </c>
      <c r="M572" s="45">
        <f t="shared" si="98"/>
        <v>0</v>
      </c>
      <c r="N572" s="38">
        <f aca="true" t="shared" si="99" ref="N572:N596">(L572/J572)*100</f>
        <v>104.34686324702915</v>
      </c>
      <c r="O572" s="67">
        <f t="shared" si="89"/>
        <v>2.2417486556524544</v>
      </c>
      <c r="P572" s="90"/>
    </row>
    <row r="573" spans="1:16" ht="12.75">
      <c r="A573" s="145"/>
      <c r="B573" s="148"/>
      <c r="C573" s="4">
        <v>3020</v>
      </c>
      <c r="D573" s="4" t="s">
        <v>194</v>
      </c>
      <c r="E573" s="6">
        <v>3063</v>
      </c>
      <c r="F573" s="6">
        <v>4150</v>
      </c>
      <c r="G573" s="6">
        <v>4954</v>
      </c>
      <c r="H573" s="6">
        <v>4224.69</v>
      </c>
      <c r="I573" s="39">
        <f aca="true" t="shared" si="100" ref="I573:I593">(H573/G573)*100</f>
        <v>85.2783609204683</v>
      </c>
      <c r="J573" s="6">
        <v>4954</v>
      </c>
      <c r="K573" s="119">
        <f t="shared" si="88"/>
        <v>0.018601386137596567</v>
      </c>
      <c r="L573" s="29">
        <v>5088</v>
      </c>
      <c r="M573" s="80"/>
      <c r="N573" s="36">
        <f t="shared" si="99"/>
        <v>102.70488494146144</v>
      </c>
      <c r="O573" s="35">
        <f t="shared" si="89"/>
        <v>0.020514197976208327</v>
      </c>
      <c r="P573" s="90"/>
    </row>
    <row r="574" spans="1:16" ht="12.75">
      <c r="A574" s="145"/>
      <c r="B574" s="148"/>
      <c r="C574" s="4">
        <v>4010</v>
      </c>
      <c r="D574" s="4" t="s">
        <v>188</v>
      </c>
      <c r="E574" s="6">
        <v>314071.06</v>
      </c>
      <c r="F574" s="6">
        <v>335726</v>
      </c>
      <c r="G574" s="6">
        <v>335376</v>
      </c>
      <c r="H574" s="6">
        <v>233983.22</v>
      </c>
      <c r="I574" s="39">
        <f t="shared" si="100"/>
        <v>69.76743118171844</v>
      </c>
      <c r="J574" s="6">
        <v>335376</v>
      </c>
      <c r="K574" s="119">
        <f t="shared" si="88"/>
        <v>1.2592770442637435</v>
      </c>
      <c r="L574" s="29">
        <v>344453</v>
      </c>
      <c r="M574" s="80"/>
      <c r="N574" s="36">
        <f t="shared" si="99"/>
        <v>102.70651447927102</v>
      </c>
      <c r="O574" s="35">
        <f t="shared" si="89"/>
        <v>1.3887926563480517</v>
      </c>
      <c r="P574" s="90"/>
    </row>
    <row r="575" spans="1:16" ht="12.75">
      <c r="A575" s="145"/>
      <c r="B575" s="148"/>
      <c r="C575" s="4">
        <v>4040</v>
      </c>
      <c r="D575" s="4" t="s">
        <v>97</v>
      </c>
      <c r="E575" s="6">
        <v>24323.06</v>
      </c>
      <c r="F575" s="6">
        <v>24875</v>
      </c>
      <c r="G575" s="6">
        <v>24739</v>
      </c>
      <c r="H575" s="6">
        <v>24738.79</v>
      </c>
      <c r="I575" s="39">
        <f t="shared" si="100"/>
        <v>99.99915113787947</v>
      </c>
      <c r="J575" s="6">
        <v>24739</v>
      </c>
      <c r="K575" s="119">
        <f t="shared" si="88"/>
        <v>0.09289053121881337</v>
      </c>
      <c r="L575" s="29">
        <v>25892</v>
      </c>
      <c r="M575" s="80"/>
      <c r="N575" s="36">
        <f t="shared" si="99"/>
        <v>104.66065726181333</v>
      </c>
      <c r="O575" s="35">
        <f t="shared" si="89"/>
        <v>0.10439339897798468</v>
      </c>
      <c r="P575" s="90"/>
    </row>
    <row r="576" spans="1:16" ht="12.75">
      <c r="A576" s="145"/>
      <c r="B576" s="148"/>
      <c r="C576" s="4">
        <v>4110</v>
      </c>
      <c r="D576" s="4" t="s">
        <v>189</v>
      </c>
      <c r="E576" s="6">
        <v>50813.01</v>
      </c>
      <c r="F576" s="6">
        <v>55136</v>
      </c>
      <c r="G576" s="6">
        <v>55136</v>
      </c>
      <c r="H576" s="6">
        <v>42437.28</v>
      </c>
      <c r="I576" s="39">
        <f t="shared" si="100"/>
        <v>76.96836912362159</v>
      </c>
      <c r="J576" s="6">
        <v>55136</v>
      </c>
      <c r="K576" s="119">
        <f t="shared" si="88"/>
        <v>0.20702584297184584</v>
      </c>
      <c r="L576" s="29">
        <v>63774</v>
      </c>
      <c r="M576" s="80"/>
      <c r="N576" s="36">
        <f t="shared" si="99"/>
        <v>115.66671503192107</v>
      </c>
      <c r="O576" s="35">
        <f t="shared" si="89"/>
        <v>0.2571290215673565</v>
      </c>
      <c r="P576" s="90"/>
    </row>
    <row r="577" spans="1:16" ht="12.75">
      <c r="A577" s="145"/>
      <c r="B577" s="148"/>
      <c r="C577" s="4">
        <v>4120</v>
      </c>
      <c r="D577" s="4" t="s">
        <v>106</v>
      </c>
      <c r="E577" s="6">
        <v>6645.95</v>
      </c>
      <c r="F577" s="6">
        <v>8835</v>
      </c>
      <c r="G577" s="6">
        <v>8827</v>
      </c>
      <c r="H577" s="6">
        <v>5020.77</v>
      </c>
      <c r="I577" s="39">
        <f t="shared" si="100"/>
        <v>56.87968732298629</v>
      </c>
      <c r="J577" s="6">
        <v>8827</v>
      </c>
      <c r="K577" s="119">
        <f t="shared" si="88"/>
        <v>0.03314381014060656</v>
      </c>
      <c r="L577" s="29">
        <v>9074</v>
      </c>
      <c r="M577" s="80"/>
      <c r="N577" s="36">
        <f t="shared" si="99"/>
        <v>102.7982326951399</v>
      </c>
      <c r="O577" s="35">
        <f t="shared" si="89"/>
        <v>0.036585265808984746</v>
      </c>
      <c r="P577" s="90"/>
    </row>
    <row r="578" spans="1:16" ht="12.75">
      <c r="A578" s="145"/>
      <c r="B578" s="148"/>
      <c r="C578" s="4">
        <v>4170</v>
      </c>
      <c r="D578" s="4" t="s">
        <v>107</v>
      </c>
      <c r="E578" s="6">
        <v>46.8</v>
      </c>
      <c r="F578" s="6">
        <v>4000</v>
      </c>
      <c r="G578" s="6">
        <v>4000</v>
      </c>
      <c r="H578" s="6">
        <v>554.36</v>
      </c>
      <c r="I578" s="39">
        <f t="shared" si="100"/>
        <v>13.858999999999998</v>
      </c>
      <c r="J578" s="6">
        <v>4000</v>
      </c>
      <c r="K578" s="119">
        <f t="shared" si="88"/>
        <v>0.015019286344446157</v>
      </c>
      <c r="L578" s="29">
        <v>4000</v>
      </c>
      <c r="M578" s="80"/>
      <c r="N578" s="36">
        <f t="shared" si="99"/>
        <v>100</v>
      </c>
      <c r="O578" s="35">
        <f t="shared" si="89"/>
        <v>0.01612751413223925</v>
      </c>
      <c r="P578" s="90"/>
    </row>
    <row r="579" spans="1:16" ht="12.75">
      <c r="A579" s="145"/>
      <c r="B579" s="148"/>
      <c r="C579" s="4">
        <v>4210</v>
      </c>
      <c r="D579" s="4" t="s">
        <v>74</v>
      </c>
      <c r="E579" s="6">
        <v>28692.05</v>
      </c>
      <c r="F579" s="6">
        <v>32081</v>
      </c>
      <c r="G579" s="6">
        <v>29907</v>
      </c>
      <c r="H579" s="6">
        <v>14274.44</v>
      </c>
      <c r="I579" s="39">
        <f t="shared" si="100"/>
        <v>47.72942789313539</v>
      </c>
      <c r="J579" s="6">
        <v>29907</v>
      </c>
      <c r="K579" s="119">
        <f t="shared" si="88"/>
        <v>0.1122954491758378</v>
      </c>
      <c r="L579" s="29">
        <v>30715</v>
      </c>
      <c r="M579" s="80"/>
      <c r="N579" s="36">
        <f t="shared" si="99"/>
        <v>102.70170863008661</v>
      </c>
      <c r="O579" s="35">
        <f t="shared" si="89"/>
        <v>0.12383914914293216</v>
      </c>
      <c r="P579" s="90"/>
    </row>
    <row r="580" spans="1:16" ht="12.75">
      <c r="A580" s="145"/>
      <c r="B580" s="148"/>
      <c r="C580" s="4">
        <v>4260</v>
      </c>
      <c r="D580" s="4" t="s">
        <v>184</v>
      </c>
      <c r="E580" s="6">
        <v>16012.64</v>
      </c>
      <c r="F580" s="6">
        <v>16432</v>
      </c>
      <c r="G580" s="6">
        <v>16432</v>
      </c>
      <c r="H580" s="6">
        <v>12230.93</v>
      </c>
      <c r="I580" s="39">
        <f t="shared" si="100"/>
        <v>74.43360516066213</v>
      </c>
      <c r="J580" s="6">
        <v>16432</v>
      </c>
      <c r="K580" s="119">
        <f t="shared" si="88"/>
        <v>0.06169922830298482</v>
      </c>
      <c r="L580" s="29">
        <v>16876</v>
      </c>
      <c r="M580" s="80"/>
      <c r="N580" s="36">
        <f t="shared" si="99"/>
        <v>102.7020447906524</v>
      </c>
      <c r="O580" s="35">
        <f t="shared" si="89"/>
        <v>0.0680419821239174</v>
      </c>
      <c r="P580" s="90"/>
    </row>
    <row r="581" spans="1:16" ht="12.75">
      <c r="A581" s="145"/>
      <c r="B581" s="148"/>
      <c r="C581" s="4">
        <v>4270</v>
      </c>
      <c r="D581" s="4" t="s">
        <v>77</v>
      </c>
      <c r="E581" s="6">
        <v>3253.81</v>
      </c>
      <c r="F581" s="6">
        <v>4680</v>
      </c>
      <c r="G581" s="6">
        <v>4680</v>
      </c>
      <c r="H581" s="6">
        <v>746.64</v>
      </c>
      <c r="I581" s="39">
        <f t="shared" si="100"/>
        <v>15.953846153846154</v>
      </c>
      <c r="J581" s="6">
        <v>4680</v>
      </c>
      <c r="K581" s="119">
        <f aca="true" t="shared" si="101" ref="K581:K644">(J581/$J$769)*100</f>
        <v>0.017572565023002</v>
      </c>
      <c r="L581" s="29">
        <v>4806</v>
      </c>
      <c r="M581" s="80"/>
      <c r="N581" s="36">
        <f t="shared" si="99"/>
        <v>102.69230769230768</v>
      </c>
      <c r="O581" s="35">
        <f aca="true" t="shared" si="102" ref="O581:O644">L581/$L$769*100</f>
        <v>0.01937720822988546</v>
      </c>
      <c r="P581" s="90"/>
    </row>
    <row r="582" spans="1:16" ht="12.75">
      <c r="A582" s="145"/>
      <c r="B582" s="148"/>
      <c r="C582" s="4">
        <v>4280</v>
      </c>
      <c r="D582" s="4" t="s">
        <v>91</v>
      </c>
      <c r="E582" s="6">
        <v>360</v>
      </c>
      <c r="F582" s="6">
        <v>350</v>
      </c>
      <c r="G582" s="6">
        <v>363</v>
      </c>
      <c r="H582" s="6">
        <v>362.5</v>
      </c>
      <c r="I582" s="39">
        <f t="shared" si="100"/>
        <v>99.86225895316805</v>
      </c>
      <c r="J582" s="6">
        <v>363</v>
      </c>
      <c r="K582" s="119">
        <f t="shared" si="101"/>
        <v>0.0013630002357584887</v>
      </c>
      <c r="L582" s="29">
        <v>373</v>
      </c>
      <c r="M582" s="80"/>
      <c r="N582" s="36">
        <f t="shared" si="99"/>
        <v>102.75482093663912</v>
      </c>
      <c r="O582" s="35">
        <f t="shared" si="102"/>
        <v>0.0015038906928313102</v>
      </c>
      <c r="P582" s="90"/>
    </row>
    <row r="583" spans="1:16" ht="12.75">
      <c r="A583" s="145"/>
      <c r="B583" s="148"/>
      <c r="C583" s="4">
        <v>4300</v>
      </c>
      <c r="D583" s="4" t="s">
        <v>87</v>
      </c>
      <c r="E583" s="6">
        <v>17544.58</v>
      </c>
      <c r="F583" s="6">
        <v>17524</v>
      </c>
      <c r="G583" s="6">
        <v>17524</v>
      </c>
      <c r="H583" s="6">
        <v>13206.72</v>
      </c>
      <c r="I583" s="39">
        <f t="shared" si="100"/>
        <v>75.36361561287377</v>
      </c>
      <c r="J583" s="6">
        <v>17524</v>
      </c>
      <c r="K583" s="119">
        <f t="shared" si="101"/>
        <v>0.06579949347501862</v>
      </c>
      <c r="L583" s="29">
        <v>17997</v>
      </c>
      <c r="M583" s="80"/>
      <c r="N583" s="36">
        <f t="shared" si="99"/>
        <v>102.69915544396258</v>
      </c>
      <c r="O583" s="35">
        <f t="shared" si="102"/>
        <v>0.07256171795947745</v>
      </c>
      <c r="P583" s="90"/>
    </row>
    <row r="584" spans="1:16" ht="12.75">
      <c r="A584" s="145"/>
      <c r="B584" s="148"/>
      <c r="C584" s="4">
        <v>4350</v>
      </c>
      <c r="D584" s="4" t="s">
        <v>195</v>
      </c>
      <c r="E584" s="6">
        <v>539</v>
      </c>
      <c r="F584" s="6">
        <v>717</v>
      </c>
      <c r="G584" s="6">
        <v>717</v>
      </c>
      <c r="H584" s="6">
        <v>441</v>
      </c>
      <c r="I584" s="39">
        <f t="shared" si="100"/>
        <v>61.50627615062761</v>
      </c>
      <c r="J584" s="6">
        <v>717</v>
      </c>
      <c r="K584" s="119">
        <f t="shared" si="101"/>
        <v>0.0026922070772419735</v>
      </c>
      <c r="L584" s="29">
        <v>736</v>
      </c>
      <c r="M584" s="80"/>
      <c r="N584" s="36">
        <f t="shared" si="99"/>
        <v>102.64993026499303</v>
      </c>
      <c r="O584" s="35">
        <f t="shared" si="102"/>
        <v>0.0029674626003320225</v>
      </c>
      <c r="P584" s="90"/>
    </row>
    <row r="585" spans="1:16" ht="22.5">
      <c r="A585" s="145"/>
      <c r="B585" s="148"/>
      <c r="C585" s="4">
        <v>4360</v>
      </c>
      <c r="D585" s="4" t="s">
        <v>338</v>
      </c>
      <c r="E585" s="6">
        <v>263.5</v>
      </c>
      <c r="F585" s="6">
        <v>300</v>
      </c>
      <c r="G585" s="6">
        <v>300</v>
      </c>
      <c r="H585" s="6">
        <v>221.4</v>
      </c>
      <c r="I585" s="39">
        <f t="shared" si="100"/>
        <v>73.8</v>
      </c>
      <c r="J585" s="6">
        <v>300</v>
      </c>
      <c r="K585" s="119">
        <f t="shared" si="101"/>
        <v>0.0011264464758334617</v>
      </c>
      <c r="L585" s="29">
        <v>308</v>
      </c>
      <c r="M585" s="80"/>
      <c r="N585" s="36">
        <f t="shared" si="99"/>
        <v>102.66666666666666</v>
      </c>
      <c r="O585" s="35">
        <f t="shared" si="102"/>
        <v>0.0012418185881824225</v>
      </c>
      <c r="P585" s="90"/>
    </row>
    <row r="586" spans="1:16" ht="22.5">
      <c r="A586" s="145"/>
      <c r="B586" s="148"/>
      <c r="C586" s="4">
        <v>4370</v>
      </c>
      <c r="D586" s="4" t="s">
        <v>135</v>
      </c>
      <c r="E586" s="6">
        <v>2750.28</v>
      </c>
      <c r="F586" s="6">
        <v>2335</v>
      </c>
      <c r="G586" s="6">
        <v>2335</v>
      </c>
      <c r="H586" s="6">
        <v>1818.38</v>
      </c>
      <c r="I586" s="39">
        <f t="shared" si="100"/>
        <v>77.87494646680942</v>
      </c>
      <c r="J586" s="6">
        <v>2335</v>
      </c>
      <c r="K586" s="119">
        <f t="shared" si="101"/>
        <v>0.008767508403570443</v>
      </c>
      <c r="L586" s="29">
        <v>2398</v>
      </c>
      <c r="M586" s="80"/>
      <c r="N586" s="36">
        <f t="shared" si="99"/>
        <v>102.69807280513919</v>
      </c>
      <c r="O586" s="35">
        <f t="shared" si="102"/>
        <v>0.00966844472227743</v>
      </c>
      <c r="P586" s="90"/>
    </row>
    <row r="587" spans="1:16" ht="12.75">
      <c r="A587" s="145"/>
      <c r="B587" s="148"/>
      <c r="C587" s="4">
        <v>4390</v>
      </c>
      <c r="D587" s="4" t="s">
        <v>229</v>
      </c>
      <c r="E587" s="6"/>
      <c r="F587" s="6">
        <v>100</v>
      </c>
      <c r="G587" s="6">
        <v>100</v>
      </c>
      <c r="H587" s="6"/>
      <c r="I587" s="39">
        <f t="shared" si="100"/>
        <v>0</v>
      </c>
      <c r="J587" s="6">
        <v>100</v>
      </c>
      <c r="K587" s="119">
        <f t="shared" si="101"/>
        <v>0.0003754821586111539</v>
      </c>
      <c r="L587" s="29">
        <v>100</v>
      </c>
      <c r="M587" s="80"/>
      <c r="N587" s="36">
        <f t="shared" si="99"/>
        <v>100</v>
      </c>
      <c r="O587" s="35">
        <f t="shared" si="102"/>
        <v>0.00040318785330598127</v>
      </c>
      <c r="P587" s="90"/>
    </row>
    <row r="588" spans="1:16" ht="15.75" customHeight="1">
      <c r="A588" s="145"/>
      <c r="B588" s="148"/>
      <c r="C588" s="4">
        <v>4400</v>
      </c>
      <c r="D588" s="4" t="s">
        <v>179</v>
      </c>
      <c r="E588" s="6">
        <v>6390.05</v>
      </c>
      <c r="F588" s="6">
        <v>7145</v>
      </c>
      <c r="G588" s="6">
        <v>7632</v>
      </c>
      <c r="H588" s="6">
        <v>5141.78</v>
      </c>
      <c r="I588" s="39">
        <f t="shared" si="100"/>
        <v>67.37133123689728</v>
      </c>
      <c r="J588" s="6">
        <v>7632</v>
      </c>
      <c r="K588" s="119">
        <f t="shared" si="101"/>
        <v>0.02865679834520327</v>
      </c>
      <c r="L588" s="29">
        <v>7838</v>
      </c>
      <c r="M588" s="80"/>
      <c r="N588" s="36">
        <f t="shared" si="99"/>
        <v>102.6991614255765</v>
      </c>
      <c r="O588" s="35">
        <f t="shared" si="102"/>
        <v>0.03160186394212282</v>
      </c>
      <c r="P588" s="90"/>
    </row>
    <row r="589" spans="1:16" ht="12.75">
      <c r="A589" s="145"/>
      <c r="B589" s="148"/>
      <c r="C589" s="4">
        <v>4410</v>
      </c>
      <c r="D589" s="4" t="s">
        <v>125</v>
      </c>
      <c r="E589" s="6">
        <v>695.26</v>
      </c>
      <c r="F589" s="6">
        <v>730</v>
      </c>
      <c r="G589" s="6">
        <v>730</v>
      </c>
      <c r="H589" s="6">
        <v>593.12</v>
      </c>
      <c r="I589" s="39">
        <f t="shared" si="100"/>
        <v>81.24931506849316</v>
      </c>
      <c r="J589" s="6">
        <v>730</v>
      </c>
      <c r="K589" s="119">
        <f t="shared" si="101"/>
        <v>0.0027410197578614237</v>
      </c>
      <c r="L589" s="29">
        <v>750</v>
      </c>
      <c r="M589" s="80"/>
      <c r="N589" s="36">
        <f t="shared" si="99"/>
        <v>102.73972602739727</v>
      </c>
      <c r="O589" s="35">
        <f t="shared" si="102"/>
        <v>0.0030239088997948598</v>
      </c>
      <c r="P589" s="90"/>
    </row>
    <row r="590" spans="1:16" ht="12.75">
      <c r="A590" s="145"/>
      <c r="B590" s="148"/>
      <c r="C590" s="4">
        <v>4420</v>
      </c>
      <c r="D590" s="4" t="s">
        <v>127</v>
      </c>
      <c r="E590" s="6"/>
      <c r="F590" s="6">
        <v>100</v>
      </c>
      <c r="G590" s="6">
        <v>100</v>
      </c>
      <c r="H590" s="6"/>
      <c r="I590" s="39">
        <f t="shared" si="100"/>
        <v>0</v>
      </c>
      <c r="J590" s="6">
        <v>100</v>
      </c>
      <c r="K590" s="119">
        <f t="shared" si="101"/>
        <v>0.0003754821586111539</v>
      </c>
      <c r="L590" s="29">
        <v>100</v>
      </c>
      <c r="M590" s="80"/>
      <c r="N590" s="36">
        <f t="shared" si="99"/>
        <v>100</v>
      </c>
      <c r="O590" s="35">
        <f t="shared" si="102"/>
        <v>0.00040318785330598127</v>
      </c>
      <c r="P590" s="90"/>
    </row>
    <row r="591" spans="1:16" ht="12.75">
      <c r="A591" s="145"/>
      <c r="B591" s="148"/>
      <c r="C591" s="4">
        <v>4430</v>
      </c>
      <c r="D591" s="4" t="s">
        <v>196</v>
      </c>
      <c r="E591" s="6">
        <v>3344</v>
      </c>
      <c r="F591" s="6">
        <v>3450</v>
      </c>
      <c r="G591" s="6">
        <v>3450</v>
      </c>
      <c r="H591" s="6">
        <v>2158</v>
      </c>
      <c r="I591" s="39">
        <f t="shared" si="100"/>
        <v>62.55072463768116</v>
      </c>
      <c r="J591" s="6">
        <v>3450</v>
      </c>
      <c r="K591" s="119">
        <f t="shared" si="101"/>
        <v>0.012954134472084811</v>
      </c>
      <c r="L591" s="29">
        <v>3450</v>
      </c>
      <c r="M591" s="80"/>
      <c r="N591" s="36">
        <f t="shared" si="99"/>
        <v>100</v>
      </c>
      <c r="O591" s="35">
        <f t="shared" si="102"/>
        <v>0.013909980939056356</v>
      </c>
      <c r="P591" s="90"/>
    </row>
    <row r="592" spans="1:16" ht="15.75" customHeight="1">
      <c r="A592" s="145"/>
      <c r="B592" s="148"/>
      <c r="C592" s="4">
        <v>4440</v>
      </c>
      <c r="D592" s="4" t="s">
        <v>180</v>
      </c>
      <c r="E592" s="6">
        <v>10900</v>
      </c>
      <c r="F592" s="6">
        <v>11200</v>
      </c>
      <c r="G592" s="6">
        <v>11200</v>
      </c>
      <c r="H592" s="6">
        <v>10392.26</v>
      </c>
      <c r="I592" s="39">
        <f t="shared" si="100"/>
        <v>92.78803571428573</v>
      </c>
      <c r="J592" s="6">
        <v>10392</v>
      </c>
      <c r="K592" s="119">
        <f t="shared" si="101"/>
        <v>0.03902010592287111</v>
      </c>
      <c r="L592" s="29">
        <v>12128</v>
      </c>
      <c r="M592" s="80"/>
      <c r="N592" s="36">
        <f t="shared" si="99"/>
        <v>116.70515781370285</v>
      </c>
      <c r="O592" s="35">
        <f t="shared" si="102"/>
        <v>0.04889862284894941</v>
      </c>
      <c r="P592" s="90"/>
    </row>
    <row r="593" spans="1:16" ht="22.5">
      <c r="A593" s="145"/>
      <c r="B593" s="148"/>
      <c r="C593" s="4">
        <v>4700</v>
      </c>
      <c r="D593" s="4" t="s">
        <v>140</v>
      </c>
      <c r="E593" s="6">
        <v>4486.5</v>
      </c>
      <c r="F593" s="6">
        <v>5150</v>
      </c>
      <c r="G593" s="6">
        <v>5150</v>
      </c>
      <c r="H593" s="6">
        <v>3409.5</v>
      </c>
      <c r="I593" s="39">
        <f t="shared" si="100"/>
        <v>66.20388349514563</v>
      </c>
      <c r="J593" s="6">
        <v>5150</v>
      </c>
      <c r="K593" s="119">
        <f t="shared" si="101"/>
        <v>0.019337331168474428</v>
      </c>
      <c r="L593" s="29">
        <v>5150</v>
      </c>
      <c r="M593" s="80"/>
      <c r="N593" s="36">
        <f t="shared" si="99"/>
        <v>100</v>
      </c>
      <c r="O593" s="35">
        <f t="shared" si="102"/>
        <v>0.020764174445258035</v>
      </c>
      <c r="P593" s="90"/>
    </row>
    <row r="594" spans="1:16" ht="12.75">
      <c r="A594" s="145"/>
      <c r="B594" s="147">
        <v>85228</v>
      </c>
      <c r="C594" s="4"/>
      <c r="D594" s="3" t="s">
        <v>197</v>
      </c>
      <c r="E594" s="5" t="e">
        <f>E595+E597+E598+E599+E600+E601+E602+E603+#REF!+E604+E605+E606+E596</f>
        <v>#REF!</v>
      </c>
      <c r="F594" s="5" t="e">
        <f>F595+F597+F598+F599+F600+F601+F602+F603+#REF!+F604+F605+F606+F596</f>
        <v>#REF!</v>
      </c>
      <c r="G594" s="5" t="e">
        <f>G595+G597+G598+G599+G600+G601+G602+G603+#REF!+G604+G605+G606+G596</f>
        <v>#REF!</v>
      </c>
      <c r="H594" s="5" t="e">
        <f>H595+H597+H598+H599+H600+H601+H602+H603+#REF!+H604+H605+H606+H596</f>
        <v>#REF!</v>
      </c>
      <c r="I594" s="5" t="e">
        <f>I595+I597+I598+I599+I600+I601+I602+I603+#REF!+I604+I605+I606+I596</f>
        <v>#REF!</v>
      </c>
      <c r="J594" s="5">
        <f>J595+J597+J598+J599+J600+J601+J602+J603+J604+J605+J606+J596</f>
        <v>140104</v>
      </c>
      <c r="K594" s="120">
        <f t="shared" si="101"/>
        <v>0.526065523500571</v>
      </c>
      <c r="L594" s="5">
        <f>L595+L597+L598+L599+L600+L601+L602+L603+L604+L605+L606+L596</f>
        <v>141315</v>
      </c>
      <c r="M594" s="45" t="e">
        <f>M595+M597+M598+M599+M600+M601+M602+M603+#REF!+M604+M605+M606+M596</f>
        <v>#REF!</v>
      </c>
      <c r="N594" s="38">
        <f t="shared" si="99"/>
        <v>100.86435790555588</v>
      </c>
      <c r="O594" s="67">
        <f t="shared" si="102"/>
        <v>0.5697649148993474</v>
      </c>
      <c r="P594" s="90"/>
    </row>
    <row r="595" spans="1:16" ht="12.75">
      <c r="A595" s="145"/>
      <c r="B595" s="150"/>
      <c r="C595" s="4">
        <v>3020</v>
      </c>
      <c r="D595" s="4" t="s">
        <v>186</v>
      </c>
      <c r="E595" s="6">
        <v>726.41</v>
      </c>
      <c r="F595" s="6">
        <v>1007</v>
      </c>
      <c r="G595" s="6">
        <v>465</v>
      </c>
      <c r="H595" s="6">
        <v>383.56</v>
      </c>
      <c r="I595" s="39">
        <f>(H595/G595)*100</f>
        <v>82.48602150537634</v>
      </c>
      <c r="J595" s="6">
        <v>465</v>
      </c>
      <c r="K595" s="119">
        <f t="shared" si="101"/>
        <v>0.0017459920375418657</v>
      </c>
      <c r="L595" s="29">
        <v>478</v>
      </c>
      <c r="M595" s="80"/>
      <c r="N595" s="36">
        <f t="shared" si="99"/>
        <v>102.7956989247312</v>
      </c>
      <c r="O595" s="35">
        <f t="shared" si="102"/>
        <v>0.0019272379388025906</v>
      </c>
      <c r="P595" s="90"/>
    </row>
    <row r="596" spans="1:16" ht="12.75">
      <c r="A596" s="145"/>
      <c r="B596" s="150"/>
      <c r="C596" s="4">
        <v>3030</v>
      </c>
      <c r="D596" s="4" t="s">
        <v>123</v>
      </c>
      <c r="E596" s="6"/>
      <c r="F596" s="6"/>
      <c r="G596" s="6">
        <v>610</v>
      </c>
      <c r="H596" s="6">
        <v>433.95</v>
      </c>
      <c r="I596" s="39"/>
      <c r="J596" s="6">
        <v>610</v>
      </c>
      <c r="K596" s="119">
        <f t="shared" si="101"/>
        <v>0.002290441167528039</v>
      </c>
      <c r="L596" s="29">
        <v>626</v>
      </c>
      <c r="M596" s="80"/>
      <c r="N596" s="36">
        <f t="shared" si="99"/>
        <v>102.62295081967213</v>
      </c>
      <c r="O596" s="35">
        <f t="shared" si="102"/>
        <v>0.002523955961695443</v>
      </c>
      <c r="P596" s="90"/>
    </row>
    <row r="597" spans="1:16" ht="12.75">
      <c r="A597" s="145"/>
      <c r="B597" s="150"/>
      <c r="C597" s="4">
        <v>4010</v>
      </c>
      <c r="D597" s="4" t="s">
        <v>188</v>
      </c>
      <c r="E597" s="6">
        <v>88638.51</v>
      </c>
      <c r="F597" s="6">
        <v>97688</v>
      </c>
      <c r="G597" s="6">
        <v>93537</v>
      </c>
      <c r="H597" s="6">
        <v>61367.24</v>
      </c>
      <c r="I597" s="39">
        <f aca="true" t="shared" si="103" ref="I597:I606">(H597/G597)*100</f>
        <v>65.60744945850305</v>
      </c>
      <c r="J597" s="6">
        <v>93537</v>
      </c>
      <c r="K597" s="119">
        <f t="shared" si="101"/>
        <v>0.35121474670011504</v>
      </c>
      <c r="L597" s="29">
        <v>90483</v>
      </c>
      <c r="M597" s="80"/>
      <c r="N597" s="36">
        <f aca="true" t="shared" si="104" ref="N597:N624">(L597/J597)*100</f>
        <v>96.73498187882869</v>
      </c>
      <c r="O597" s="35">
        <f t="shared" si="102"/>
        <v>0.364816465306851</v>
      </c>
      <c r="P597" s="90"/>
    </row>
    <row r="598" spans="1:16" ht="12.75">
      <c r="A598" s="145"/>
      <c r="B598" s="150"/>
      <c r="C598" s="4">
        <v>4040</v>
      </c>
      <c r="D598" s="4" t="s">
        <v>97</v>
      </c>
      <c r="E598" s="6">
        <v>7111.97</v>
      </c>
      <c r="F598" s="6">
        <v>6420</v>
      </c>
      <c r="G598" s="6">
        <v>6384</v>
      </c>
      <c r="H598" s="6">
        <v>6383.81</v>
      </c>
      <c r="I598" s="39">
        <f t="shared" si="103"/>
        <v>99.99702380952381</v>
      </c>
      <c r="J598" s="6">
        <v>6384</v>
      </c>
      <c r="K598" s="119">
        <f t="shared" si="101"/>
        <v>0.023970781005736064</v>
      </c>
      <c r="L598" s="29">
        <v>6691</v>
      </c>
      <c r="M598" s="80"/>
      <c r="N598" s="36">
        <f t="shared" si="104"/>
        <v>104.80889724310778</v>
      </c>
      <c r="O598" s="35">
        <f t="shared" si="102"/>
        <v>0.02697729926470321</v>
      </c>
      <c r="P598" s="90"/>
    </row>
    <row r="599" spans="1:16" ht="12.75">
      <c r="A599" s="145"/>
      <c r="B599" s="150"/>
      <c r="C599" s="4">
        <v>4110</v>
      </c>
      <c r="D599" s="4" t="s">
        <v>189</v>
      </c>
      <c r="E599" s="6">
        <v>14993.14</v>
      </c>
      <c r="F599" s="6">
        <v>15918</v>
      </c>
      <c r="G599" s="6">
        <v>15918</v>
      </c>
      <c r="H599" s="6">
        <v>12530.39</v>
      </c>
      <c r="I599" s="39">
        <f t="shared" si="103"/>
        <v>78.71836914185198</v>
      </c>
      <c r="J599" s="6">
        <v>15918</v>
      </c>
      <c r="K599" s="119">
        <f t="shared" si="101"/>
        <v>0.059769250007723485</v>
      </c>
      <c r="L599" s="29">
        <v>18885</v>
      </c>
      <c r="M599" s="80"/>
      <c r="N599" s="36">
        <f t="shared" si="104"/>
        <v>118.63927629099133</v>
      </c>
      <c r="O599" s="35">
        <f t="shared" si="102"/>
        <v>0.07614202609683457</v>
      </c>
      <c r="P599" s="90"/>
    </row>
    <row r="600" spans="1:16" ht="12.75">
      <c r="A600" s="145"/>
      <c r="B600" s="150"/>
      <c r="C600" s="4">
        <v>4120</v>
      </c>
      <c r="D600" s="4" t="s">
        <v>106</v>
      </c>
      <c r="E600" s="6">
        <v>1126.65</v>
      </c>
      <c r="F600" s="6">
        <v>2551</v>
      </c>
      <c r="G600" s="6">
        <v>2551</v>
      </c>
      <c r="H600" s="6">
        <v>770.26</v>
      </c>
      <c r="I600" s="39">
        <f t="shared" si="103"/>
        <v>30.194433555468443</v>
      </c>
      <c r="J600" s="6">
        <v>2551</v>
      </c>
      <c r="K600" s="119">
        <f t="shared" si="101"/>
        <v>0.009578549866170537</v>
      </c>
      <c r="L600" s="29">
        <v>2551</v>
      </c>
      <c r="M600" s="80"/>
      <c r="N600" s="36">
        <f t="shared" si="104"/>
        <v>100</v>
      </c>
      <c r="O600" s="35">
        <f t="shared" si="102"/>
        <v>0.010285322137835583</v>
      </c>
      <c r="P600" s="90"/>
    </row>
    <row r="601" spans="1:16" ht="12.75">
      <c r="A601" s="145"/>
      <c r="B601" s="150"/>
      <c r="C601" s="4">
        <v>4170</v>
      </c>
      <c r="D601" s="4" t="s">
        <v>107</v>
      </c>
      <c r="E601" s="6">
        <v>7199.03</v>
      </c>
      <c r="F601" s="6">
        <v>7800</v>
      </c>
      <c r="G601" s="6">
        <v>11951</v>
      </c>
      <c r="H601" s="6">
        <v>8998.31</v>
      </c>
      <c r="I601" s="39">
        <f t="shared" si="103"/>
        <v>75.29336457200235</v>
      </c>
      <c r="J601" s="6">
        <v>11951</v>
      </c>
      <c r="K601" s="119">
        <f t="shared" si="101"/>
        <v>0.04487387277561901</v>
      </c>
      <c r="L601" s="29">
        <v>12500</v>
      </c>
      <c r="M601" s="80"/>
      <c r="N601" s="36">
        <f t="shared" si="104"/>
        <v>104.59375784453184</v>
      </c>
      <c r="O601" s="35">
        <f t="shared" si="102"/>
        <v>0.05039848166324767</v>
      </c>
      <c r="P601" s="90"/>
    </row>
    <row r="602" spans="1:16" ht="12.75">
      <c r="A602" s="145"/>
      <c r="B602" s="150"/>
      <c r="C602" s="4">
        <v>4210</v>
      </c>
      <c r="D602" s="4" t="s">
        <v>74</v>
      </c>
      <c r="E602" s="6">
        <v>200.8</v>
      </c>
      <c r="F602" s="6">
        <v>450</v>
      </c>
      <c r="G602" s="6">
        <v>50</v>
      </c>
      <c r="H602" s="6"/>
      <c r="I602" s="39">
        <f t="shared" si="103"/>
        <v>0</v>
      </c>
      <c r="J602" s="6">
        <v>50</v>
      </c>
      <c r="K602" s="119">
        <f t="shared" si="101"/>
        <v>0.00018774107930557695</v>
      </c>
      <c r="L602" s="29">
        <v>52</v>
      </c>
      <c r="M602" s="80"/>
      <c r="N602" s="36">
        <f t="shared" si="104"/>
        <v>104</v>
      </c>
      <c r="O602" s="35">
        <f t="shared" si="102"/>
        <v>0.00020965768371911027</v>
      </c>
      <c r="P602" s="90"/>
    </row>
    <row r="603" spans="1:16" ht="12.75">
      <c r="A603" s="145"/>
      <c r="B603" s="150"/>
      <c r="C603" s="4">
        <v>4280</v>
      </c>
      <c r="D603" s="4" t="s">
        <v>91</v>
      </c>
      <c r="E603" s="6">
        <v>150</v>
      </c>
      <c r="F603" s="6">
        <v>40</v>
      </c>
      <c r="G603" s="6">
        <v>40</v>
      </c>
      <c r="H603" s="6">
        <v>35</v>
      </c>
      <c r="I603" s="39">
        <f t="shared" si="103"/>
        <v>87.5</v>
      </c>
      <c r="J603" s="6">
        <v>40</v>
      </c>
      <c r="K603" s="119">
        <f t="shared" si="101"/>
        <v>0.00015019286344446157</v>
      </c>
      <c r="L603" s="29">
        <v>160</v>
      </c>
      <c r="M603" s="80"/>
      <c r="N603" s="36">
        <f t="shared" si="104"/>
        <v>400</v>
      </c>
      <c r="O603" s="35">
        <f t="shared" si="102"/>
        <v>0.0006451005652895702</v>
      </c>
      <c r="P603" s="90"/>
    </row>
    <row r="604" spans="1:16" ht="12.75">
      <c r="A604" s="145"/>
      <c r="B604" s="150"/>
      <c r="C604" s="4">
        <v>4410</v>
      </c>
      <c r="D604" s="4" t="s">
        <v>125</v>
      </c>
      <c r="E604" s="6">
        <v>1093.89</v>
      </c>
      <c r="F604" s="6">
        <v>1200</v>
      </c>
      <c r="G604" s="6">
        <v>3100</v>
      </c>
      <c r="H604" s="6">
        <v>2118.94</v>
      </c>
      <c r="I604" s="39">
        <f t="shared" si="103"/>
        <v>68.35290322580644</v>
      </c>
      <c r="J604" s="6">
        <v>3100</v>
      </c>
      <c r="K604" s="119">
        <f t="shared" si="101"/>
        <v>0.011639946916945771</v>
      </c>
      <c r="L604" s="29">
        <v>3184</v>
      </c>
      <c r="M604" s="80"/>
      <c r="N604" s="36">
        <f t="shared" si="104"/>
        <v>102.70967741935483</v>
      </c>
      <c r="O604" s="35">
        <f t="shared" si="102"/>
        <v>0.012837501249262443</v>
      </c>
      <c r="P604" s="90"/>
    </row>
    <row r="605" spans="1:16" ht="12.75">
      <c r="A605" s="145"/>
      <c r="B605" s="150"/>
      <c r="C605" s="4">
        <v>4440</v>
      </c>
      <c r="D605" s="4" t="s">
        <v>180</v>
      </c>
      <c r="E605" s="6">
        <v>5687</v>
      </c>
      <c r="F605" s="6">
        <v>5815</v>
      </c>
      <c r="G605" s="6">
        <v>5815</v>
      </c>
      <c r="H605" s="6">
        <v>5286.89</v>
      </c>
      <c r="I605" s="39">
        <f t="shared" si="103"/>
        <v>90.91814273430782</v>
      </c>
      <c r="J605" s="6">
        <v>5378</v>
      </c>
      <c r="K605" s="119">
        <f t="shared" si="101"/>
        <v>0.02019343049010786</v>
      </c>
      <c r="L605" s="29">
        <v>5585</v>
      </c>
      <c r="M605" s="80"/>
      <c r="N605" s="36">
        <f t="shared" si="104"/>
        <v>103.84901450353293</v>
      </c>
      <c r="O605" s="35">
        <f t="shared" si="102"/>
        <v>0.022518041607139057</v>
      </c>
      <c r="P605" s="90"/>
    </row>
    <row r="606" spans="1:16" ht="24.75" customHeight="1">
      <c r="A606" s="145"/>
      <c r="B606" s="160"/>
      <c r="C606" s="4">
        <v>4700</v>
      </c>
      <c r="D606" s="4" t="s">
        <v>140</v>
      </c>
      <c r="E606" s="6">
        <v>150</v>
      </c>
      <c r="F606" s="6">
        <v>400</v>
      </c>
      <c r="G606" s="6">
        <v>120</v>
      </c>
      <c r="H606" s="6"/>
      <c r="I606" s="39">
        <f t="shared" si="103"/>
        <v>0</v>
      </c>
      <c r="J606" s="6">
        <v>120</v>
      </c>
      <c r="K606" s="119">
        <f t="shared" si="101"/>
        <v>0.00045057859033338475</v>
      </c>
      <c r="L606" s="29">
        <v>120</v>
      </c>
      <c r="M606" s="80"/>
      <c r="N606" s="36">
        <f t="shared" si="104"/>
        <v>100</v>
      </c>
      <c r="O606" s="35">
        <f t="shared" si="102"/>
        <v>0.00048382542396717756</v>
      </c>
      <c r="P606" s="90"/>
    </row>
    <row r="607" spans="1:16" ht="12.75">
      <c r="A607" s="145"/>
      <c r="B607" s="155">
        <v>85232</v>
      </c>
      <c r="C607" s="4"/>
      <c r="D607" s="3" t="s">
        <v>28</v>
      </c>
      <c r="E607" s="5">
        <f aca="true" t="shared" si="105" ref="E607:M607">E608+E609+E610+E611+E612+E613+E615+E616+E617+E619+E620+E621+E614+E618</f>
        <v>18945.739999999998</v>
      </c>
      <c r="F607" s="5">
        <f t="shared" si="105"/>
        <v>21495</v>
      </c>
      <c r="G607" s="5">
        <f t="shared" si="105"/>
        <v>22153</v>
      </c>
      <c r="H607" s="5">
        <f t="shared" si="105"/>
        <v>15034.460000000001</v>
      </c>
      <c r="I607" s="5">
        <f t="shared" si="105"/>
        <v>855.8214631981573</v>
      </c>
      <c r="J607" s="5">
        <f t="shared" si="105"/>
        <v>21261</v>
      </c>
      <c r="K607" s="120">
        <f t="shared" si="101"/>
        <v>0.07983126174231743</v>
      </c>
      <c r="L607" s="5">
        <f t="shared" si="105"/>
        <v>21741</v>
      </c>
      <c r="M607" s="45">
        <f t="shared" si="105"/>
        <v>0</v>
      </c>
      <c r="N607" s="38">
        <f t="shared" si="104"/>
        <v>102.25765486101312</v>
      </c>
      <c r="O607" s="67">
        <f t="shared" si="102"/>
        <v>0.0876570711872534</v>
      </c>
      <c r="P607" s="90"/>
    </row>
    <row r="608" spans="1:16" ht="12.75">
      <c r="A608" s="145"/>
      <c r="B608" s="156"/>
      <c r="C608" s="4">
        <v>3020</v>
      </c>
      <c r="D608" s="4" t="s">
        <v>174</v>
      </c>
      <c r="E608" s="6">
        <v>482.16</v>
      </c>
      <c r="F608" s="6">
        <v>139</v>
      </c>
      <c r="G608" s="6">
        <v>139</v>
      </c>
      <c r="H608" s="6">
        <v>96.8</v>
      </c>
      <c r="I608" s="39">
        <f aca="true" t="shared" si="106" ref="I608:I621">(H608/G608)*100</f>
        <v>69.64028776978417</v>
      </c>
      <c r="J608" s="6">
        <v>139</v>
      </c>
      <c r="K608" s="119">
        <f t="shared" si="101"/>
        <v>0.000521920200469504</v>
      </c>
      <c r="L608" s="29">
        <v>139</v>
      </c>
      <c r="M608" s="80"/>
      <c r="N608" s="36">
        <f t="shared" si="104"/>
        <v>100</v>
      </c>
      <c r="O608" s="35">
        <f t="shared" si="102"/>
        <v>0.000560431116095314</v>
      </c>
      <c r="P608" s="90"/>
    </row>
    <row r="609" spans="1:16" ht="12.75">
      <c r="A609" s="145"/>
      <c r="B609" s="156"/>
      <c r="C609" s="4">
        <v>4010</v>
      </c>
      <c r="D609" s="4" t="s">
        <v>95</v>
      </c>
      <c r="E609" s="6">
        <v>11308.28</v>
      </c>
      <c r="F609" s="6">
        <v>11335</v>
      </c>
      <c r="G609" s="6">
        <v>11335</v>
      </c>
      <c r="H609" s="6">
        <v>7887.59</v>
      </c>
      <c r="I609" s="39">
        <f t="shared" si="106"/>
        <v>69.58614909572121</v>
      </c>
      <c r="J609" s="6">
        <v>11335</v>
      </c>
      <c r="K609" s="119">
        <f t="shared" si="101"/>
        <v>0.0425609026785743</v>
      </c>
      <c r="L609" s="29">
        <v>11335</v>
      </c>
      <c r="M609" s="80"/>
      <c r="N609" s="36">
        <f t="shared" si="104"/>
        <v>100</v>
      </c>
      <c r="O609" s="35">
        <f t="shared" si="102"/>
        <v>0.04570134317223298</v>
      </c>
      <c r="P609" s="90"/>
    </row>
    <row r="610" spans="1:16" ht="12.75">
      <c r="A610" s="145"/>
      <c r="B610" s="156"/>
      <c r="C610" s="4">
        <v>4040</v>
      </c>
      <c r="D610" s="4" t="s">
        <v>97</v>
      </c>
      <c r="E610" s="6">
        <v>981.63</v>
      </c>
      <c r="F610" s="6">
        <v>807</v>
      </c>
      <c r="G610" s="6">
        <v>796</v>
      </c>
      <c r="H610" s="6">
        <v>795.94</v>
      </c>
      <c r="I610" s="39">
        <f t="shared" si="106"/>
        <v>99.9924623115578</v>
      </c>
      <c r="J610" s="6">
        <v>796</v>
      </c>
      <c r="K610" s="119">
        <f t="shared" si="101"/>
        <v>0.0029888379825447854</v>
      </c>
      <c r="L610" s="29">
        <v>845</v>
      </c>
      <c r="M610" s="80"/>
      <c r="N610" s="36">
        <f t="shared" si="104"/>
        <v>106.15577889447236</v>
      </c>
      <c r="O610" s="35">
        <f t="shared" si="102"/>
        <v>0.003406937360435542</v>
      </c>
      <c r="P610" s="90"/>
    </row>
    <row r="611" spans="1:16" ht="12.75">
      <c r="A611" s="145"/>
      <c r="B611" s="156"/>
      <c r="C611" s="4">
        <v>4110</v>
      </c>
      <c r="D611" s="4" t="s">
        <v>189</v>
      </c>
      <c r="E611" s="6">
        <v>1848.37</v>
      </c>
      <c r="F611" s="6">
        <v>1857</v>
      </c>
      <c r="G611" s="6">
        <v>1857</v>
      </c>
      <c r="H611" s="6">
        <v>1464.99</v>
      </c>
      <c r="I611" s="39">
        <f t="shared" si="106"/>
        <v>78.89014539579968</v>
      </c>
      <c r="J611" s="6">
        <v>1857</v>
      </c>
      <c r="K611" s="119">
        <f t="shared" si="101"/>
        <v>0.006972703685409129</v>
      </c>
      <c r="L611" s="29">
        <v>2097</v>
      </c>
      <c r="M611" s="80"/>
      <c r="N611" s="36">
        <f t="shared" si="104"/>
        <v>112.92407108239095</v>
      </c>
      <c r="O611" s="35">
        <f t="shared" si="102"/>
        <v>0.008454849283826428</v>
      </c>
      <c r="P611" s="90"/>
    </row>
    <row r="612" spans="1:16" ht="12.75">
      <c r="A612" s="145"/>
      <c r="B612" s="156"/>
      <c r="C612" s="4">
        <v>4120</v>
      </c>
      <c r="D612" s="4" t="s">
        <v>106</v>
      </c>
      <c r="E612" s="6">
        <v>290.39</v>
      </c>
      <c r="F612" s="6">
        <v>298</v>
      </c>
      <c r="G612" s="6">
        <v>298</v>
      </c>
      <c r="H612" s="6">
        <v>212.74</v>
      </c>
      <c r="I612" s="39">
        <f t="shared" si="106"/>
        <v>71.38926174496645</v>
      </c>
      <c r="J612" s="6">
        <v>298</v>
      </c>
      <c r="K612" s="119">
        <f t="shared" si="101"/>
        <v>0.0011189368326612386</v>
      </c>
      <c r="L612" s="29">
        <v>298</v>
      </c>
      <c r="M612" s="80"/>
      <c r="N612" s="36">
        <f t="shared" si="104"/>
        <v>100</v>
      </c>
      <c r="O612" s="35">
        <f t="shared" si="102"/>
        <v>0.0012014998028518243</v>
      </c>
      <c r="P612" s="90"/>
    </row>
    <row r="613" spans="1:16" ht="12.75">
      <c r="A613" s="145"/>
      <c r="B613" s="156"/>
      <c r="C613" s="4">
        <v>4210</v>
      </c>
      <c r="D613" s="4" t="s">
        <v>74</v>
      </c>
      <c r="E613" s="6">
        <v>484.28</v>
      </c>
      <c r="F613" s="6">
        <v>1400</v>
      </c>
      <c r="G613" s="6">
        <v>1400</v>
      </c>
      <c r="H613" s="6">
        <v>346.86</v>
      </c>
      <c r="I613" s="39">
        <f t="shared" si="106"/>
        <v>24.775714285714287</v>
      </c>
      <c r="J613" s="6">
        <v>847</v>
      </c>
      <c r="K613" s="119">
        <f t="shared" si="101"/>
        <v>0.0031803338834364733</v>
      </c>
      <c r="L613" s="29">
        <v>870</v>
      </c>
      <c r="M613" s="80"/>
      <c r="N613" s="36">
        <f t="shared" si="104"/>
        <v>102.71546635183</v>
      </c>
      <c r="O613" s="35">
        <f t="shared" si="102"/>
        <v>0.0035077343237620378</v>
      </c>
      <c r="P613" s="90"/>
    </row>
    <row r="614" spans="1:16" ht="12.75">
      <c r="A614" s="145"/>
      <c r="B614" s="156"/>
      <c r="C614" s="4">
        <v>4260</v>
      </c>
      <c r="D614" s="4" t="s">
        <v>75</v>
      </c>
      <c r="E614" s="6">
        <v>840.48</v>
      </c>
      <c r="F614" s="6">
        <v>1510</v>
      </c>
      <c r="G614" s="6">
        <v>2179</v>
      </c>
      <c r="H614" s="6">
        <v>1918.47</v>
      </c>
      <c r="I614" s="39">
        <f t="shared" si="106"/>
        <v>88.04359798072511</v>
      </c>
      <c r="J614" s="6">
        <v>2179</v>
      </c>
      <c r="K614" s="119">
        <f t="shared" si="101"/>
        <v>0.008181756236137044</v>
      </c>
      <c r="L614" s="29">
        <v>2238</v>
      </c>
      <c r="M614" s="80"/>
      <c r="N614" s="36">
        <f t="shared" si="104"/>
        <v>102.70766406608536</v>
      </c>
      <c r="O614" s="35">
        <f t="shared" si="102"/>
        <v>0.009023344156987861</v>
      </c>
      <c r="P614" s="90"/>
    </row>
    <row r="615" spans="1:16" ht="12.75">
      <c r="A615" s="145"/>
      <c r="B615" s="156"/>
      <c r="C615" s="4">
        <v>4280</v>
      </c>
      <c r="D615" s="4" t="s">
        <v>91</v>
      </c>
      <c r="E615" s="6">
        <v>30</v>
      </c>
      <c r="F615" s="6">
        <v>60</v>
      </c>
      <c r="G615" s="6">
        <v>60</v>
      </c>
      <c r="H615" s="6">
        <v>50</v>
      </c>
      <c r="I615" s="39">
        <f t="shared" si="106"/>
        <v>83.33333333333334</v>
      </c>
      <c r="J615" s="6">
        <v>60</v>
      </c>
      <c r="K615" s="119">
        <f t="shared" si="101"/>
        <v>0.00022528929516669238</v>
      </c>
      <c r="L615" s="29">
        <v>40</v>
      </c>
      <c r="M615" s="80"/>
      <c r="N615" s="36">
        <f t="shared" si="104"/>
        <v>66.66666666666666</v>
      </c>
      <c r="O615" s="35">
        <f t="shared" si="102"/>
        <v>0.00016127514132239254</v>
      </c>
      <c r="P615" s="90"/>
    </row>
    <row r="616" spans="1:16" ht="12.75">
      <c r="A616" s="145"/>
      <c r="B616" s="156"/>
      <c r="C616" s="4">
        <v>4300</v>
      </c>
      <c r="D616" s="4" t="s">
        <v>87</v>
      </c>
      <c r="E616" s="6">
        <v>517.05</v>
      </c>
      <c r="F616" s="6">
        <v>480</v>
      </c>
      <c r="G616" s="6">
        <v>480</v>
      </c>
      <c r="H616" s="6">
        <v>124.5</v>
      </c>
      <c r="I616" s="39">
        <f t="shared" si="106"/>
        <v>25.937500000000004</v>
      </c>
      <c r="J616" s="6">
        <v>480</v>
      </c>
      <c r="K616" s="119">
        <f t="shared" si="101"/>
        <v>0.001802314361333539</v>
      </c>
      <c r="L616" s="29">
        <v>493</v>
      </c>
      <c r="M616" s="80"/>
      <c r="N616" s="36">
        <f t="shared" si="104"/>
        <v>102.70833333333333</v>
      </c>
      <c r="O616" s="35">
        <f t="shared" si="102"/>
        <v>0.001987716116798488</v>
      </c>
      <c r="P616" s="90"/>
    </row>
    <row r="617" spans="1:16" ht="22.5">
      <c r="A617" s="145"/>
      <c r="B617" s="156"/>
      <c r="C617" s="4">
        <v>4370</v>
      </c>
      <c r="D617" s="4" t="s">
        <v>135</v>
      </c>
      <c r="E617" s="6">
        <v>243.9</v>
      </c>
      <c r="F617" s="6">
        <v>612</v>
      </c>
      <c r="G617" s="6">
        <v>612</v>
      </c>
      <c r="H617" s="6">
        <v>168.53</v>
      </c>
      <c r="I617" s="39">
        <f t="shared" si="106"/>
        <v>27.537581699346404</v>
      </c>
      <c r="J617" s="6">
        <v>304</v>
      </c>
      <c r="K617" s="119">
        <f t="shared" si="101"/>
        <v>0.001141465762177908</v>
      </c>
      <c r="L617" s="29">
        <v>312</v>
      </c>
      <c r="M617" s="80"/>
      <c r="N617" s="36">
        <f t="shared" si="104"/>
        <v>102.63157894736842</v>
      </c>
      <c r="O617" s="35">
        <f t="shared" si="102"/>
        <v>0.0012579461023146618</v>
      </c>
      <c r="P617" s="90"/>
    </row>
    <row r="618" spans="1:16" ht="22.5">
      <c r="A618" s="145"/>
      <c r="B618" s="156"/>
      <c r="C618" s="4">
        <v>4400</v>
      </c>
      <c r="D618" s="4" t="s">
        <v>251</v>
      </c>
      <c r="E618" s="6">
        <v>647</v>
      </c>
      <c r="F618" s="6">
        <v>1562</v>
      </c>
      <c r="G618" s="6">
        <v>1562</v>
      </c>
      <c r="H618" s="6">
        <v>736.76</v>
      </c>
      <c r="I618" s="39">
        <f t="shared" si="106"/>
        <v>47.16773367477593</v>
      </c>
      <c r="J618" s="6">
        <v>1562</v>
      </c>
      <c r="K618" s="119">
        <f t="shared" si="101"/>
        <v>0.005865031317506224</v>
      </c>
      <c r="L618" s="29">
        <v>1604</v>
      </c>
      <c r="M618" s="80"/>
      <c r="N618" s="36">
        <f t="shared" si="104"/>
        <v>102.68886043533931</v>
      </c>
      <c r="O618" s="35">
        <f t="shared" si="102"/>
        <v>0.006467133167027941</v>
      </c>
      <c r="P618" s="90"/>
    </row>
    <row r="619" spans="1:16" ht="12.75">
      <c r="A619" s="145"/>
      <c r="B619" s="156"/>
      <c r="C619" s="4">
        <v>4410</v>
      </c>
      <c r="D619" s="4" t="s">
        <v>125</v>
      </c>
      <c r="E619" s="6">
        <v>128.2</v>
      </c>
      <c r="F619" s="6">
        <v>190</v>
      </c>
      <c r="G619" s="6">
        <v>190</v>
      </c>
      <c r="H619" s="6">
        <v>137.35</v>
      </c>
      <c r="I619" s="39">
        <f t="shared" si="106"/>
        <v>72.28947368421052</v>
      </c>
      <c r="J619" s="6">
        <v>190</v>
      </c>
      <c r="K619" s="119">
        <f t="shared" si="101"/>
        <v>0.0007134161013611925</v>
      </c>
      <c r="L619" s="29">
        <v>195</v>
      </c>
      <c r="M619" s="80"/>
      <c r="N619" s="36">
        <f t="shared" si="104"/>
        <v>102.63157894736842</v>
      </c>
      <c r="O619" s="35">
        <f t="shared" si="102"/>
        <v>0.0007862163139466635</v>
      </c>
      <c r="P619" s="90"/>
    </row>
    <row r="620" spans="1:16" ht="12.75">
      <c r="A620" s="145"/>
      <c r="B620" s="156"/>
      <c r="C620" s="4">
        <v>4440</v>
      </c>
      <c r="D620" s="4" t="s">
        <v>180</v>
      </c>
      <c r="E620" s="6">
        <v>1094</v>
      </c>
      <c r="F620" s="6">
        <v>1125</v>
      </c>
      <c r="G620" s="6">
        <v>1125</v>
      </c>
      <c r="H620" s="6">
        <v>1093.93</v>
      </c>
      <c r="I620" s="39">
        <f t="shared" si="106"/>
        <v>97.23822222222222</v>
      </c>
      <c r="J620" s="6">
        <v>1094</v>
      </c>
      <c r="K620" s="119">
        <f t="shared" si="101"/>
        <v>0.004107774815206024</v>
      </c>
      <c r="L620" s="29">
        <v>1155</v>
      </c>
      <c r="M620" s="80"/>
      <c r="N620" s="36">
        <f t="shared" si="104"/>
        <v>105.57586837294333</v>
      </c>
      <c r="O620" s="35">
        <f t="shared" si="102"/>
        <v>0.0046568197056840845</v>
      </c>
      <c r="P620" s="90"/>
    </row>
    <row r="621" spans="1:16" ht="22.5">
      <c r="A621" s="145"/>
      <c r="B621" s="156"/>
      <c r="C621" s="4">
        <v>4700</v>
      </c>
      <c r="D621" s="4" t="s">
        <v>140</v>
      </c>
      <c r="E621" s="6">
        <v>50</v>
      </c>
      <c r="F621" s="6">
        <v>120</v>
      </c>
      <c r="G621" s="6">
        <v>120</v>
      </c>
      <c r="H621" s="6"/>
      <c r="I621" s="39">
        <f t="shared" si="106"/>
        <v>0</v>
      </c>
      <c r="J621" s="6">
        <v>120</v>
      </c>
      <c r="K621" s="119">
        <f t="shared" si="101"/>
        <v>0.00045057859033338475</v>
      </c>
      <c r="L621" s="29">
        <v>120</v>
      </c>
      <c r="M621" s="80"/>
      <c r="N621" s="36">
        <f t="shared" si="104"/>
        <v>100</v>
      </c>
      <c r="O621" s="35">
        <f t="shared" si="102"/>
        <v>0.00048382542396717756</v>
      </c>
      <c r="P621" s="90"/>
    </row>
    <row r="622" spans="1:16" ht="12.75">
      <c r="A622" s="145"/>
      <c r="B622" s="147">
        <v>85295</v>
      </c>
      <c r="C622" s="4"/>
      <c r="D622" s="3" t="s">
        <v>10</v>
      </c>
      <c r="E622" s="5">
        <f aca="true" t="shared" si="107" ref="E622:M622">E624+E623+E628+E630+E631+E629+E627+E632</f>
        <v>266073.17</v>
      </c>
      <c r="F622" s="5">
        <f t="shared" si="107"/>
        <v>286462</v>
      </c>
      <c r="G622" s="5">
        <f t="shared" si="107"/>
        <v>312373</v>
      </c>
      <c r="H622" s="5">
        <f t="shared" si="107"/>
        <v>192583.57000000004</v>
      </c>
      <c r="I622" s="5">
        <f t="shared" si="107"/>
        <v>409.0917829992274</v>
      </c>
      <c r="J622" s="5">
        <f t="shared" si="107"/>
        <v>290721</v>
      </c>
      <c r="K622" s="120">
        <f t="shared" si="101"/>
        <v>1.0916054863359328</v>
      </c>
      <c r="L622" s="5">
        <f t="shared" si="107"/>
        <v>261143</v>
      </c>
      <c r="M622" s="45">
        <f t="shared" si="107"/>
        <v>0</v>
      </c>
      <c r="N622" s="38">
        <f t="shared" si="104"/>
        <v>89.82598436301471</v>
      </c>
      <c r="O622" s="67">
        <f t="shared" si="102"/>
        <v>1.0528968557588387</v>
      </c>
      <c r="P622" s="90"/>
    </row>
    <row r="623" spans="1:16" s="108" customFormat="1" ht="45">
      <c r="A623" s="145"/>
      <c r="B623" s="148"/>
      <c r="C623" s="4">
        <v>2830</v>
      </c>
      <c r="D623" s="4" t="s">
        <v>192</v>
      </c>
      <c r="E623" s="6">
        <v>3000</v>
      </c>
      <c r="F623" s="6">
        <v>3100</v>
      </c>
      <c r="G623" s="6">
        <v>3600</v>
      </c>
      <c r="H623" s="6">
        <v>2700</v>
      </c>
      <c r="I623" s="39">
        <f>(H623/G623)*100</f>
        <v>75</v>
      </c>
      <c r="J623" s="6">
        <v>3600</v>
      </c>
      <c r="K623" s="119">
        <f t="shared" si="101"/>
        <v>0.013517357710001541</v>
      </c>
      <c r="L623" s="29">
        <v>3600</v>
      </c>
      <c r="M623" s="80"/>
      <c r="N623" s="36">
        <f t="shared" si="104"/>
        <v>100</v>
      </c>
      <c r="O623" s="35">
        <f t="shared" si="102"/>
        <v>0.014514762719015325</v>
      </c>
      <c r="P623" s="90"/>
    </row>
    <row r="624" spans="1:16" ht="12.75">
      <c r="A624" s="145"/>
      <c r="B624" s="148"/>
      <c r="C624" s="4">
        <v>3110</v>
      </c>
      <c r="D624" s="4" t="s">
        <v>187</v>
      </c>
      <c r="E624" s="6">
        <v>255262.94</v>
      </c>
      <c r="F624" s="6">
        <v>273437</v>
      </c>
      <c r="G624" s="6">
        <v>305367</v>
      </c>
      <c r="H624" s="6">
        <v>188295.94</v>
      </c>
      <c r="I624" s="39">
        <f>(H624/G624)*100</f>
        <v>61.66217698703528</v>
      </c>
      <c r="J624" s="6">
        <f>J625+J626</f>
        <v>284220</v>
      </c>
      <c r="K624" s="119">
        <f t="shared" si="101"/>
        <v>1.0671953912046217</v>
      </c>
      <c r="L624" s="6">
        <f>L625+L626</f>
        <v>255879</v>
      </c>
      <c r="M624" s="43">
        <f>M625+M626</f>
        <v>0</v>
      </c>
      <c r="N624" s="36">
        <f t="shared" si="104"/>
        <v>90.02849905003167</v>
      </c>
      <c r="O624" s="35">
        <f t="shared" si="102"/>
        <v>1.0316730471608118</v>
      </c>
      <c r="P624" s="90"/>
    </row>
    <row r="625" spans="1:16" ht="12.75">
      <c r="A625" s="145"/>
      <c r="B625" s="148"/>
      <c r="C625" s="4"/>
      <c r="D625" s="4" t="s">
        <v>262</v>
      </c>
      <c r="E625" s="6"/>
      <c r="F625" s="6">
        <v>13632</v>
      </c>
      <c r="G625" s="6">
        <v>13632</v>
      </c>
      <c r="H625" s="6">
        <v>7592</v>
      </c>
      <c r="I625" s="39">
        <f>(H625/G625)*100</f>
        <v>55.6924882629108</v>
      </c>
      <c r="J625" s="6">
        <v>8000</v>
      </c>
      <c r="K625" s="119">
        <f t="shared" si="101"/>
        <v>0.030038572688892314</v>
      </c>
      <c r="L625" s="29">
        <v>8000</v>
      </c>
      <c r="M625" s="80"/>
      <c r="N625" s="36"/>
      <c r="O625" s="35">
        <f t="shared" si="102"/>
        <v>0.0322550282644785</v>
      </c>
      <c r="P625" s="90"/>
    </row>
    <row r="626" spans="1:16" ht="12.75">
      <c r="A626" s="145"/>
      <c r="B626" s="148"/>
      <c r="C626" s="4"/>
      <c r="D626" s="4" t="s">
        <v>314</v>
      </c>
      <c r="E626" s="6"/>
      <c r="F626" s="6">
        <v>259805</v>
      </c>
      <c r="G626" s="6"/>
      <c r="H626" s="6"/>
      <c r="I626" s="39"/>
      <c r="J626" s="6">
        <v>276220</v>
      </c>
      <c r="K626" s="119">
        <f t="shared" si="101"/>
        <v>1.0371568185157294</v>
      </c>
      <c r="L626" s="29">
        <v>247879</v>
      </c>
      <c r="M626" s="80"/>
      <c r="N626" s="36"/>
      <c r="O626" s="35">
        <f t="shared" si="102"/>
        <v>0.9994180188963334</v>
      </c>
      <c r="P626" s="90"/>
    </row>
    <row r="627" spans="1:16" ht="12.75">
      <c r="A627" s="145"/>
      <c r="B627" s="148"/>
      <c r="C627" s="4">
        <v>4010</v>
      </c>
      <c r="D627" s="4" t="s">
        <v>95</v>
      </c>
      <c r="E627" s="6"/>
      <c r="F627" s="6"/>
      <c r="G627" s="6">
        <v>620</v>
      </c>
      <c r="H627" s="6">
        <v>399.25</v>
      </c>
      <c r="I627" s="39">
        <f aca="true" t="shared" si="108" ref="I627:I652">(H627/G627)*100</f>
        <v>64.39516129032258</v>
      </c>
      <c r="J627" s="6">
        <v>620</v>
      </c>
      <c r="K627" s="119">
        <f t="shared" si="101"/>
        <v>0.0023279893833891546</v>
      </c>
      <c r="L627" s="29"/>
      <c r="M627" s="80"/>
      <c r="N627" s="36">
        <f aca="true" t="shared" si="109" ref="N627:N651">(L627/J627)*100</f>
        <v>0</v>
      </c>
      <c r="O627" s="35">
        <f t="shared" si="102"/>
        <v>0</v>
      </c>
      <c r="P627" s="90"/>
    </row>
    <row r="628" spans="1:16" ht="12.75">
      <c r="A628" s="145"/>
      <c r="B628" s="148"/>
      <c r="C628" s="4">
        <v>4110</v>
      </c>
      <c r="D628" s="4" t="s">
        <v>189</v>
      </c>
      <c r="E628" s="6"/>
      <c r="F628" s="6"/>
      <c r="G628" s="6">
        <v>108</v>
      </c>
      <c r="H628" s="6">
        <v>68.76</v>
      </c>
      <c r="I628" s="39">
        <f t="shared" si="108"/>
        <v>63.66666666666667</v>
      </c>
      <c r="J628" s="6">
        <v>108</v>
      </c>
      <c r="K628" s="119">
        <f t="shared" si="101"/>
        <v>0.00040552073130004627</v>
      </c>
      <c r="L628" s="29"/>
      <c r="M628" s="80"/>
      <c r="N628" s="36">
        <f t="shared" si="109"/>
        <v>0</v>
      </c>
      <c r="O628" s="35">
        <f t="shared" si="102"/>
        <v>0</v>
      </c>
      <c r="P628" s="90"/>
    </row>
    <row r="629" spans="1:16" ht="12.75">
      <c r="A629" s="145"/>
      <c r="B629" s="148"/>
      <c r="C629" s="4">
        <v>4120</v>
      </c>
      <c r="D629" s="4" t="s">
        <v>106</v>
      </c>
      <c r="E629" s="6"/>
      <c r="F629" s="6"/>
      <c r="G629" s="6">
        <v>15.4</v>
      </c>
      <c r="H629" s="6">
        <v>7.67</v>
      </c>
      <c r="I629" s="39">
        <f t="shared" si="108"/>
        <v>49.8051948051948</v>
      </c>
      <c r="J629" s="6">
        <v>15</v>
      </c>
      <c r="K629" s="119">
        <f t="shared" si="101"/>
        <v>5.6322323791673094E-05</v>
      </c>
      <c r="L629" s="29"/>
      <c r="M629" s="80"/>
      <c r="N629" s="36">
        <f t="shared" si="109"/>
        <v>0</v>
      </c>
      <c r="O629" s="35">
        <f t="shared" si="102"/>
        <v>0</v>
      </c>
      <c r="P629" s="90"/>
    </row>
    <row r="630" spans="1:16" ht="12.75">
      <c r="A630" s="145"/>
      <c r="B630" s="148"/>
      <c r="C630" s="4">
        <v>4210</v>
      </c>
      <c r="D630" s="4" t="s">
        <v>74</v>
      </c>
      <c r="E630" s="6">
        <v>6172.23</v>
      </c>
      <c r="F630" s="6">
        <v>8000</v>
      </c>
      <c r="G630" s="6">
        <v>398.6</v>
      </c>
      <c r="H630" s="6">
        <v>150.85</v>
      </c>
      <c r="I630" s="39">
        <f t="shared" si="108"/>
        <v>37.84495735072754</v>
      </c>
      <c r="J630" s="6">
        <v>199</v>
      </c>
      <c r="K630" s="119">
        <f t="shared" si="101"/>
        <v>0.0007472094956361963</v>
      </c>
      <c r="L630" s="29"/>
      <c r="M630" s="80"/>
      <c r="N630" s="36">
        <f t="shared" si="109"/>
        <v>0</v>
      </c>
      <c r="O630" s="35">
        <f t="shared" si="102"/>
        <v>0</v>
      </c>
      <c r="P630" s="90"/>
    </row>
    <row r="631" spans="1:16" ht="12.75">
      <c r="A631" s="145"/>
      <c r="B631" s="148"/>
      <c r="C631" s="4">
        <v>4300</v>
      </c>
      <c r="D631" s="4" t="s">
        <v>87</v>
      </c>
      <c r="E631" s="6">
        <v>1638</v>
      </c>
      <c r="F631" s="6">
        <v>1925</v>
      </c>
      <c r="G631" s="6">
        <v>2224</v>
      </c>
      <c r="H631" s="6">
        <v>955.6</v>
      </c>
      <c r="I631" s="39">
        <f t="shared" si="108"/>
        <v>42.96762589928058</v>
      </c>
      <c r="J631" s="6">
        <v>1919</v>
      </c>
      <c r="K631" s="119">
        <f t="shared" si="101"/>
        <v>0.007205502623748044</v>
      </c>
      <c r="L631" s="29">
        <v>1664</v>
      </c>
      <c r="M631" s="80"/>
      <c r="N631" s="36">
        <f t="shared" si="109"/>
        <v>86.71182907764461</v>
      </c>
      <c r="O631" s="35">
        <f t="shared" si="102"/>
        <v>0.006709045879011529</v>
      </c>
      <c r="P631" s="90"/>
    </row>
    <row r="632" spans="1:16" ht="22.5">
      <c r="A632" s="145"/>
      <c r="B632" s="148"/>
      <c r="C632" s="4">
        <v>4370</v>
      </c>
      <c r="D632" s="4" t="s">
        <v>135</v>
      </c>
      <c r="E632" s="6"/>
      <c r="F632" s="6"/>
      <c r="G632" s="6">
        <v>40</v>
      </c>
      <c r="H632" s="6">
        <v>5.5</v>
      </c>
      <c r="I632" s="39">
        <f t="shared" si="108"/>
        <v>13.750000000000002</v>
      </c>
      <c r="J632" s="6">
        <v>40</v>
      </c>
      <c r="K632" s="119">
        <f t="shared" si="101"/>
        <v>0.00015019286344446157</v>
      </c>
      <c r="L632" s="29"/>
      <c r="M632" s="80"/>
      <c r="N632" s="36">
        <f t="shared" si="109"/>
        <v>0</v>
      </c>
      <c r="O632" s="35">
        <f t="shared" si="102"/>
        <v>0</v>
      </c>
      <c r="P632" s="90"/>
    </row>
    <row r="633" spans="1:16" s="13" customFormat="1" ht="12.75">
      <c r="A633" s="164">
        <v>853</v>
      </c>
      <c r="B633" s="57"/>
      <c r="C633" s="3"/>
      <c r="D633" s="3" t="s">
        <v>246</v>
      </c>
      <c r="E633" s="5">
        <f>E634</f>
        <v>107590.11</v>
      </c>
      <c r="F633" s="5">
        <f>F634</f>
        <v>133610</v>
      </c>
      <c r="G633" s="5">
        <f>G634</f>
        <v>133610</v>
      </c>
      <c r="H633" s="5">
        <f>H634</f>
        <v>56677.13000000001</v>
      </c>
      <c r="I633" s="39">
        <f t="shared" si="108"/>
        <v>42.41982636030238</v>
      </c>
      <c r="J633" s="5">
        <f>J634</f>
        <v>133853</v>
      </c>
      <c r="K633" s="120">
        <f t="shared" si="101"/>
        <v>0.5025941337657879</v>
      </c>
      <c r="L633" s="5">
        <f>L634</f>
        <v>137500</v>
      </c>
      <c r="M633" s="45">
        <f>M634</f>
        <v>0</v>
      </c>
      <c r="N633" s="38">
        <f t="shared" si="109"/>
        <v>102.72463075164546</v>
      </c>
      <c r="O633" s="67">
        <f t="shared" si="102"/>
        <v>0.5543832982957243</v>
      </c>
      <c r="P633" s="90"/>
    </row>
    <row r="634" spans="1:16" s="13" customFormat="1" ht="12.75">
      <c r="A634" s="145"/>
      <c r="B634" s="147">
        <v>85395</v>
      </c>
      <c r="C634" s="3"/>
      <c r="D634" s="3" t="s">
        <v>10</v>
      </c>
      <c r="E634" s="5">
        <f>SUM(E638:E651)</f>
        <v>107590.11</v>
      </c>
      <c r="F634" s="5">
        <f>SUM(F638:F651)</f>
        <v>133610</v>
      </c>
      <c r="G634" s="5">
        <f>SUM(G638:G651)</f>
        <v>133610</v>
      </c>
      <c r="H634" s="5">
        <f>SUM(H638:H651)</f>
        <v>56677.13000000001</v>
      </c>
      <c r="I634" s="39">
        <f t="shared" si="108"/>
        <v>42.41982636030238</v>
      </c>
      <c r="J634" s="5">
        <f>SUM(J638:J651)</f>
        <v>133853</v>
      </c>
      <c r="K634" s="120">
        <f t="shared" si="101"/>
        <v>0.5025941337657879</v>
      </c>
      <c r="L634" s="5">
        <f>SUM(L638:L651)</f>
        <v>137500</v>
      </c>
      <c r="M634" s="45">
        <f>SUM(M638:M651)</f>
        <v>0</v>
      </c>
      <c r="N634" s="38">
        <f t="shared" si="109"/>
        <v>102.72463075164546</v>
      </c>
      <c r="O634" s="67">
        <f t="shared" si="102"/>
        <v>0.5543832982957243</v>
      </c>
      <c r="P634" s="90"/>
    </row>
    <row r="635" spans="1:16" s="18" customFormat="1" ht="12.75">
      <c r="A635" s="145"/>
      <c r="B635" s="150"/>
      <c r="C635" s="8"/>
      <c r="D635" s="8" t="s">
        <v>230</v>
      </c>
      <c r="E635" s="11">
        <f>E634</f>
        <v>107590.11</v>
      </c>
      <c r="F635" s="11">
        <f>F634</f>
        <v>133610</v>
      </c>
      <c r="G635" s="11">
        <f>G634</f>
        <v>133610</v>
      </c>
      <c r="H635" s="11">
        <f>H634</f>
        <v>56677.13000000001</v>
      </c>
      <c r="I635" s="39">
        <f t="shared" si="108"/>
        <v>42.41982636030238</v>
      </c>
      <c r="J635" s="11">
        <f>J634</f>
        <v>133853</v>
      </c>
      <c r="K635" s="119">
        <f t="shared" si="101"/>
        <v>0.5025941337657879</v>
      </c>
      <c r="L635" s="11">
        <f>L634</f>
        <v>137500</v>
      </c>
      <c r="M635" s="59"/>
      <c r="N635" s="36">
        <f t="shared" si="109"/>
        <v>102.72463075164546</v>
      </c>
      <c r="O635" s="35">
        <f t="shared" si="102"/>
        <v>0.5543832982957243</v>
      </c>
      <c r="P635" s="92"/>
    </row>
    <row r="636" spans="1:16" s="18" customFormat="1" ht="12.75">
      <c r="A636" s="145"/>
      <c r="B636" s="150"/>
      <c r="C636" s="8"/>
      <c r="D636" s="8" t="s">
        <v>278</v>
      </c>
      <c r="E636" s="11"/>
      <c r="F636" s="11"/>
      <c r="G636" s="11"/>
      <c r="H636" s="11"/>
      <c r="I636" s="39" t="e">
        <f t="shared" si="108"/>
        <v>#DIV/0!</v>
      </c>
      <c r="J636" s="11"/>
      <c r="K636" s="119">
        <f t="shared" si="101"/>
        <v>0</v>
      </c>
      <c r="L636" s="11"/>
      <c r="M636" s="59"/>
      <c r="N636" s="36"/>
      <c r="O636" s="35">
        <f t="shared" si="102"/>
        <v>0</v>
      </c>
      <c r="P636" s="92"/>
    </row>
    <row r="637" spans="1:16" s="18" customFormat="1" ht="12.75">
      <c r="A637" s="145"/>
      <c r="B637" s="150"/>
      <c r="C637" s="8"/>
      <c r="D637" s="8"/>
      <c r="E637" s="11"/>
      <c r="F637" s="11"/>
      <c r="G637" s="11"/>
      <c r="H637" s="11"/>
      <c r="I637" s="39" t="e">
        <f t="shared" si="108"/>
        <v>#DIV/0!</v>
      </c>
      <c r="J637" s="11"/>
      <c r="K637" s="119">
        <f t="shared" si="101"/>
        <v>0</v>
      </c>
      <c r="L637" s="11"/>
      <c r="M637" s="59"/>
      <c r="N637" s="36"/>
      <c r="O637" s="35">
        <f t="shared" si="102"/>
        <v>0</v>
      </c>
      <c r="P637" s="92"/>
    </row>
    <row r="638" spans="1:16" s="108" customFormat="1" ht="12.75">
      <c r="A638" s="145"/>
      <c r="B638" s="150"/>
      <c r="C638" s="4">
        <v>3027</v>
      </c>
      <c r="D638" s="4" t="s">
        <v>174</v>
      </c>
      <c r="E638" s="6">
        <v>90.97</v>
      </c>
      <c r="F638" s="6">
        <v>140</v>
      </c>
      <c r="G638" s="6">
        <v>990</v>
      </c>
      <c r="H638" s="6">
        <v>768.71</v>
      </c>
      <c r="I638" s="39">
        <f t="shared" si="108"/>
        <v>77.64747474747476</v>
      </c>
      <c r="J638" s="6">
        <v>990</v>
      </c>
      <c r="K638" s="119">
        <f t="shared" si="101"/>
        <v>0.0037172733702504237</v>
      </c>
      <c r="L638" s="6">
        <v>1006</v>
      </c>
      <c r="M638" s="60"/>
      <c r="N638" s="36">
        <f t="shared" si="109"/>
        <v>101.61616161616163</v>
      </c>
      <c r="O638" s="35">
        <f t="shared" si="102"/>
        <v>0.004056069804258172</v>
      </c>
      <c r="P638" s="90"/>
    </row>
    <row r="639" spans="1:16" ht="12.75">
      <c r="A639" s="145"/>
      <c r="B639" s="150"/>
      <c r="C639" s="4">
        <v>3119</v>
      </c>
      <c r="D639" s="4" t="s">
        <v>187</v>
      </c>
      <c r="E639" s="6">
        <v>7089.61</v>
      </c>
      <c r="F639" s="6">
        <v>14055</v>
      </c>
      <c r="G639" s="6">
        <v>14055</v>
      </c>
      <c r="H639" s="6">
        <v>4000</v>
      </c>
      <c r="I639" s="39">
        <f t="shared" si="108"/>
        <v>28.45962290999644</v>
      </c>
      <c r="J639" s="6">
        <v>14055</v>
      </c>
      <c r="K639" s="119">
        <f t="shared" si="101"/>
        <v>0.05277401739279768</v>
      </c>
      <c r="L639" s="29">
        <v>14438</v>
      </c>
      <c r="M639" s="80"/>
      <c r="N639" s="36">
        <f t="shared" si="109"/>
        <v>102.72500889363216</v>
      </c>
      <c r="O639" s="35">
        <f t="shared" si="102"/>
        <v>0.05821226226031759</v>
      </c>
      <c r="P639" s="90"/>
    </row>
    <row r="640" spans="1:16" ht="12.75">
      <c r="A640" s="145"/>
      <c r="B640" s="150"/>
      <c r="C640" s="4">
        <v>4017</v>
      </c>
      <c r="D640" s="4" t="s">
        <v>95</v>
      </c>
      <c r="E640" s="6">
        <v>39569.95</v>
      </c>
      <c r="F640" s="6">
        <v>42440</v>
      </c>
      <c r="G640" s="6">
        <v>42440</v>
      </c>
      <c r="H640" s="6">
        <v>29053.6</v>
      </c>
      <c r="I640" s="39">
        <f t="shared" si="108"/>
        <v>68.45805843543826</v>
      </c>
      <c r="J640" s="6">
        <v>42440</v>
      </c>
      <c r="K640" s="119">
        <f t="shared" si="101"/>
        <v>0.15935462811457374</v>
      </c>
      <c r="L640" s="29">
        <v>43713</v>
      </c>
      <c r="M640" s="80"/>
      <c r="N640" s="36">
        <f t="shared" si="109"/>
        <v>102.99952874646561</v>
      </c>
      <c r="O640" s="35">
        <f t="shared" si="102"/>
        <v>0.1762455063156436</v>
      </c>
      <c r="P640" s="90"/>
    </row>
    <row r="641" spans="1:16" ht="12.75">
      <c r="A641" s="145"/>
      <c r="B641" s="150"/>
      <c r="C641" s="4">
        <v>4019</v>
      </c>
      <c r="D641" s="4" t="s">
        <v>95</v>
      </c>
      <c r="E641" s="6"/>
      <c r="F641" s="6">
        <v>3000</v>
      </c>
      <c r="G641" s="6">
        <v>3000</v>
      </c>
      <c r="H641" s="6"/>
      <c r="I641" s="39">
        <f t="shared" si="108"/>
        <v>0</v>
      </c>
      <c r="J641" s="6">
        <v>3000</v>
      </c>
      <c r="K641" s="119">
        <f t="shared" si="101"/>
        <v>0.011264464758334617</v>
      </c>
      <c r="L641" s="29">
        <v>3090</v>
      </c>
      <c r="M641" s="80"/>
      <c r="N641" s="36">
        <f t="shared" si="109"/>
        <v>103</v>
      </c>
      <c r="O641" s="35">
        <f t="shared" si="102"/>
        <v>0.012458504667154821</v>
      </c>
      <c r="P641" s="90"/>
    </row>
    <row r="642" spans="1:16" ht="12.75">
      <c r="A642" s="145"/>
      <c r="B642" s="150"/>
      <c r="C642" s="4">
        <v>4047</v>
      </c>
      <c r="D642" s="4" t="s">
        <v>97</v>
      </c>
      <c r="E642" s="6">
        <v>2081.74</v>
      </c>
      <c r="F642" s="6">
        <v>3417</v>
      </c>
      <c r="G642" s="6">
        <v>3417</v>
      </c>
      <c r="H642" s="6">
        <v>3281.98</v>
      </c>
      <c r="I642" s="39">
        <f t="shared" si="108"/>
        <v>96.04858062628037</v>
      </c>
      <c r="J642" s="6">
        <v>3417</v>
      </c>
      <c r="K642" s="119">
        <f t="shared" si="101"/>
        <v>0.012830225359743132</v>
      </c>
      <c r="L642" s="29">
        <v>3685</v>
      </c>
      <c r="M642" s="80"/>
      <c r="N642" s="36">
        <f t="shared" si="109"/>
        <v>107.84313725490196</v>
      </c>
      <c r="O642" s="35">
        <f t="shared" si="102"/>
        <v>0.014857472394325411</v>
      </c>
      <c r="P642" s="90"/>
    </row>
    <row r="643" spans="1:16" ht="12.75">
      <c r="A643" s="145"/>
      <c r="B643" s="150"/>
      <c r="C643" s="4">
        <v>4117</v>
      </c>
      <c r="D643" s="4" t="s">
        <v>189</v>
      </c>
      <c r="E643" s="6">
        <v>6368.47</v>
      </c>
      <c r="F643" s="6">
        <v>7434</v>
      </c>
      <c r="G643" s="6">
        <v>7434</v>
      </c>
      <c r="H643" s="6">
        <v>5507.54</v>
      </c>
      <c r="I643" s="39">
        <f t="shared" si="108"/>
        <v>74.08582189938122</v>
      </c>
      <c r="J643" s="6">
        <v>7434</v>
      </c>
      <c r="K643" s="119">
        <f t="shared" si="101"/>
        <v>0.027913343671153182</v>
      </c>
      <c r="L643" s="29">
        <v>8694</v>
      </c>
      <c r="M643" s="80"/>
      <c r="N643" s="36">
        <f t="shared" si="109"/>
        <v>116.94915254237289</v>
      </c>
      <c r="O643" s="35">
        <f t="shared" si="102"/>
        <v>0.035053151966422016</v>
      </c>
      <c r="P643" s="90"/>
    </row>
    <row r="644" spans="1:16" ht="12.75">
      <c r="A644" s="145"/>
      <c r="B644" s="150"/>
      <c r="C644" s="4">
        <v>4127</v>
      </c>
      <c r="D644" s="4" t="s">
        <v>106</v>
      </c>
      <c r="E644" s="6">
        <v>846.97</v>
      </c>
      <c r="F644" s="6">
        <v>1191</v>
      </c>
      <c r="G644" s="6">
        <v>1191</v>
      </c>
      <c r="H644" s="6">
        <v>683.63</v>
      </c>
      <c r="I644" s="39">
        <f t="shared" si="108"/>
        <v>57.39966414777498</v>
      </c>
      <c r="J644" s="6">
        <v>1191</v>
      </c>
      <c r="K644" s="119">
        <f t="shared" si="101"/>
        <v>0.004471992509058843</v>
      </c>
      <c r="L644" s="29">
        <v>1134</v>
      </c>
      <c r="M644" s="80"/>
      <c r="N644" s="36">
        <f t="shared" si="109"/>
        <v>95.21410579345087</v>
      </c>
      <c r="O644" s="35">
        <f t="shared" si="102"/>
        <v>0.004572150256489828</v>
      </c>
      <c r="P644" s="90"/>
    </row>
    <row r="645" spans="1:16" ht="12.75">
      <c r="A645" s="145"/>
      <c r="B645" s="150"/>
      <c r="C645" s="4">
        <v>4137</v>
      </c>
      <c r="D645" s="4" t="s">
        <v>191</v>
      </c>
      <c r="E645" s="6">
        <v>4995</v>
      </c>
      <c r="F645" s="6">
        <v>5435</v>
      </c>
      <c r="G645" s="6">
        <v>4585</v>
      </c>
      <c r="H645" s="6"/>
      <c r="I645" s="39">
        <f t="shared" si="108"/>
        <v>0</v>
      </c>
      <c r="J645" s="6"/>
      <c r="K645" s="119">
        <f aca="true" t="shared" si="110" ref="K645:K708">(J645/$J$769)*100</f>
        <v>0</v>
      </c>
      <c r="L645" s="29">
        <v>3620</v>
      </c>
      <c r="M645" s="80"/>
      <c r="N645" s="36"/>
      <c r="O645" s="35">
        <f aca="true" t="shared" si="111" ref="O645:O708">L645/$L$769*100</f>
        <v>0.014595400289676524</v>
      </c>
      <c r="P645" s="90"/>
    </row>
    <row r="646" spans="1:16" ht="12.75">
      <c r="A646" s="145"/>
      <c r="B646" s="150"/>
      <c r="C646" s="4">
        <v>4217</v>
      </c>
      <c r="D646" s="4" t="s">
        <v>74</v>
      </c>
      <c r="E646" s="6">
        <v>2538.43</v>
      </c>
      <c r="F646" s="6">
        <v>3700</v>
      </c>
      <c r="G646" s="6">
        <v>3700</v>
      </c>
      <c r="H646" s="6">
        <v>1128.8</v>
      </c>
      <c r="I646" s="39">
        <f t="shared" si="108"/>
        <v>30.508108108108107</v>
      </c>
      <c r="J646" s="6">
        <v>3700</v>
      </c>
      <c r="K646" s="119">
        <f t="shared" si="110"/>
        <v>0.013892839868612695</v>
      </c>
      <c r="L646" s="29">
        <v>3800</v>
      </c>
      <c r="M646" s="80"/>
      <c r="N646" s="36">
        <f t="shared" si="109"/>
        <v>102.7027027027027</v>
      </c>
      <c r="O646" s="35">
        <f t="shared" si="111"/>
        <v>0.01532113842562729</v>
      </c>
      <c r="P646" s="90"/>
    </row>
    <row r="647" spans="1:16" ht="12.75">
      <c r="A647" s="145"/>
      <c r="B647" s="150"/>
      <c r="C647" s="4">
        <v>4267</v>
      </c>
      <c r="D647" s="4" t="s">
        <v>75</v>
      </c>
      <c r="E647" s="6">
        <v>1448.1</v>
      </c>
      <c r="F647" s="6">
        <v>1134</v>
      </c>
      <c r="G647" s="6">
        <v>1134</v>
      </c>
      <c r="H647" s="6">
        <v>741.3</v>
      </c>
      <c r="I647" s="39">
        <f t="shared" si="108"/>
        <v>65.37037037037037</v>
      </c>
      <c r="J647" s="6">
        <v>1134</v>
      </c>
      <c r="K647" s="119">
        <f t="shared" si="110"/>
        <v>0.004257967678650485</v>
      </c>
      <c r="L647" s="29">
        <v>1165</v>
      </c>
      <c r="M647" s="80"/>
      <c r="N647" s="36">
        <f t="shared" si="109"/>
        <v>102.7336860670194</v>
      </c>
      <c r="O647" s="35">
        <f t="shared" si="111"/>
        <v>0.004697138491014682</v>
      </c>
      <c r="P647" s="90"/>
    </row>
    <row r="648" spans="1:16" ht="12.75">
      <c r="A648" s="145"/>
      <c r="B648" s="150"/>
      <c r="C648" s="4">
        <v>4307</v>
      </c>
      <c r="D648" s="4" t="s">
        <v>87</v>
      </c>
      <c r="E648" s="6">
        <v>38361.7</v>
      </c>
      <c r="F648" s="6">
        <v>46596</v>
      </c>
      <c r="G648" s="6">
        <v>46596</v>
      </c>
      <c r="H648" s="6">
        <v>9598.12</v>
      </c>
      <c r="I648" s="39">
        <f t="shared" si="108"/>
        <v>20.598592153832946</v>
      </c>
      <c r="J648" s="6">
        <v>51511</v>
      </c>
      <c r="K648" s="119">
        <f t="shared" si="110"/>
        <v>0.1934146147221915</v>
      </c>
      <c r="L648" s="29">
        <v>47945</v>
      </c>
      <c r="M648" s="80"/>
      <c r="N648" s="36">
        <f t="shared" si="109"/>
        <v>93.07720681019588</v>
      </c>
      <c r="O648" s="35">
        <f t="shared" si="111"/>
        <v>0.19330841626755274</v>
      </c>
      <c r="P648" s="90"/>
    </row>
    <row r="649" spans="1:16" ht="12.75">
      <c r="A649" s="145"/>
      <c r="B649" s="150"/>
      <c r="C649" s="4">
        <v>4309</v>
      </c>
      <c r="D649" s="4" t="s">
        <v>87</v>
      </c>
      <c r="E649" s="6">
        <v>3161.11</v>
      </c>
      <c r="F649" s="6">
        <v>3023</v>
      </c>
      <c r="G649" s="6">
        <v>3023</v>
      </c>
      <c r="H649" s="6">
        <v>396.73</v>
      </c>
      <c r="I649" s="39">
        <f t="shared" si="108"/>
        <v>13.12371816076745</v>
      </c>
      <c r="J649" s="6">
        <v>3023</v>
      </c>
      <c r="K649" s="119">
        <f t="shared" si="110"/>
        <v>0.011350825654815183</v>
      </c>
      <c r="L649" s="29">
        <v>3105</v>
      </c>
      <c r="M649" s="80"/>
      <c r="N649" s="36">
        <f t="shared" si="109"/>
        <v>102.7125372146874</v>
      </c>
      <c r="O649" s="35">
        <f t="shared" si="111"/>
        <v>0.012518982845150722</v>
      </c>
      <c r="P649" s="90"/>
    </row>
    <row r="650" spans="1:16" ht="22.5">
      <c r="A650" s="145"/>
      <c r="B650" s="150"/>
      <c r="C650" s="4">
        <v>4407</v>
      </c>
      <c r="D650" s="4" t="s">
        <v>251</v>
      </c>
      <c r="E650" s="6"/>
      <c r="F650" s="6">
        <v>920</v>
      </c>
      <c r="G650" s="6">
        <v>920</v>
      </c>
      <c r="H650" s="6">
        <v>513.9</v>
      </c>
      <c r="I650" s="39">
        <f t="shared" si="108"/>
        <v>55.85869565217391</v>
      </c>
      <c r="J650" s="6">
        <v>920</v>
      </c>
      <c r="K650" s="119">
        <f t="shared" si="110"/>
        <v>0.0034544358592226163</v>
      </c>
      <c r="L650" s="29">
        <v>945</v>
      </c>
      <c r="M650" s="80"/>
      <c r="N650" s="36">
        <f t="shared" si="109"/>
        <v>102.71739130434783</v>
      </c>
      <c r="O650" s="35">
        <f t="shared" si="111"/>
        <v>0.0038101252137415233</v>
      </c>
      <c r="P650" s="90"/>
    </row>
    <row r="651" spans="1:16" ht="14.25" customHeight="1">
      <c r="A651" s="145"/>
      <c r="B651" s="150"/>
      <c r="C651" s="4">
        <v>4447</v>
      </c>
      <c r="D651" s="4" t="s">
        <v>180</v>
      </c>
      <c r="E651" s="6">
        <v>1038.06</v>
      </c>
      <c r="F651" s="6">
        <v>1125</v>
      </c>
      <c r="G651" s="6">
        <v>1125</v>
      </c>
      <c r="H651" s="6">
        <v>1002.82</v>
      </c>
      <c r="I651" s="39">
        <f t="shared" si="108"/>
        <v>89.13955555555556</v>
      </c>
      <c r="J651" s="6">
        <v>1038</v>
      </c>
      <c r="K651" s="119">
        <f t="shared" si="110"/>
        <v>0.003897504806383778</v>
      </c>
      <c r="L651" s="29">
        <v>1160</v>
      </c>
      <c r="M651" s="80"/>
      <c r="N651" s="36">
        <f t="shared" si="109"/>
        <v>111.7533718689788</v>
      </c>
      <c r="O651" s="35">
        <f t="shared" si="111"/>
        <v>0.004676979098349383</v>
      </c>
      <c r="P651" s="90"/>
    </row>
    <row r="652" spans="1:16" s="13" customFormat="1" ht="12.75">
      <c r="A652" s="164">
        <v>854</v>
      </c>
      <c r="B652" s="3"/>
      <c r="C652" s="3"/>
      <c r="D652" s="3" t="s">
        <v>29</v>
      </c>
      <c r="E652" s="5" t="e">
        <f>E655+E663+E666</f>
        <v>#REF!</v>
      </c>
      <c r="F652" s="5" t="e">
        <f>F655+F663+F666</f>
        <v>#REF!</v>
      </c>
      <c r="G652" s="5" t="e">
        <f>G655+G663+G666</f>
        <v>#REF!</v>
      </c>
      <c r="H652" s="5" t="e">
        <f>H655+H663+H666</f>
        <v>#REF!</v>
      </c>
      <c r="I652" s="39" t="e">
        <f t="shared" si="108"/>
        <v>#REF!</v>
      </c>
      <c r="J652" s="5">
        <f>J655+J663+J666</f>
        <v>594851.8</v>
      </c>
      <c r="K652" s="120">
        <f t="shared" si="110"/>
        <v>2.2335623791773043</v>
      </c>
      <c r="L652" s="5">
        <f>L655+L663+L666</f>
        <v>286521</v>
      </c>
      <c r="M652" s="45" t="e">
        <f>M655+M663+M666</f>
        <v>#REF!</v>
      </c>
      <c r="N652" s="38">
        <f>(L652/J652)*100</f>
        <v>48.16678708881775</v>
      </c>
      <c r="O652" s="67">
        <f t="shared" si="111"/>
        <v>1.1552178691708306</v>
      </c>
      <c r="P652" s="90"/>
    </row>
    <row r="653" spans="1:16" s="13" customFormat="1" ht="12.75">
      <c r="A653" s="145"/>
      <c r="B653" s="3"/>
      <c r="C653" s="3"/>
      <c r="D653" s="8" t="s">
        <v>232</v>
      </c>
      <c r="E653" s="6" t="e">
        <f>E656+#REF!+E657+E658+E659+E660+E661+#REF!+E662+#REF!+E664+E665+E667+E668</f>
        <v>#REF!</v>
      </c>
      <c r="F653" s="6" t="e">
        <f>F656+#REF!+F657+F658+F659+F660+F661+#REF!+F662+#REF!+F664+F665+F667+F668</f>
        <v>#REF!</v>
      </c>
      <c r="G653" s="6" t="e">
        <f>G656+#REF!+G657+G658+G659+G660+G661+#REF!+G662+#REF!+G664+G665+G667+G668</f>
        <v>#REF!</v>
      </c>
      <c r="H653" s="6" t="e">
        <f>H656+#REF!+H657+H658+H659+H660+H661+#REF!+H662+#REF!+H664+H665+H667+H668</f>
        <v>#REF!</v>
      </c>
      <c r="I653" s="6" t="e">
        <f>I656+#REF!+I657+I658+I659+I660+I661+#REF!+I662+#REF!+I664+I665+I667+I668</f>
        <v>#REF!</v>
      </c>
      <c r="J653" s="6">
        <f>J656+J657+J658+J659+J660+J661+J662+J664+J665+J667+J668</f>
        <v>594851.8</v>
      </c>
      <c r="K653" s="119">
        <f t="shared" si="110"/>
        <v>2.2335623791773043</v>
      </c>
      <c r="L653" s="6">
        <f>L656+L657+L658+L659+L660+L661+L662+L664+L665+L667+L668</f>
        <v>286521</v>
      </c>
      <c r="M653" s="43" t="e">
        <f>M656+#REF!+M657+M658+M659+M660+M661+#REF!+M662+#REF!+M664+M665+M667+M668</f>
        <v>#REF!</v>
      </c>
      <c r="N653" s="36">
        <f>(L653/J653)*100</f>
        <v>48.16678708881775</v>
      </c>
      <c r="O653" s="35">
        <f t="shared" si="111"/>
        <v>1.1552178691708306</v>
      </c>
      <c r="P653" s="90"/>
    </row>
    <row r="654" spans="1:16" s="13" customFormat="1" ht="12.75">
      <c r="A654" s="145"/>
      <c r="B654" s="3"/>
      <c r="C654" s="3"/>
      <c r="D654" s="8" t="s">
        <v>231</v>
      </c>
      <c r="E654" s="5">
        <v>0</v>
      </c>
      <c r="F654" s="5">
        <v>0</v>
      </c>
      <c r="G654" s="5">
        <v>0</v>
      </c>
      <c r="H654" s="5">
        <v>0</v>
      </c>
      <c r="I654" s="39" t="e">
        <f aca="true" t="shared" si="112" ref="I654:I692">(H654/G654)*100</f>
        <v>#DIV/0!</v>
      </c>
      <c r="J654" s="5">
        <v>0</v>
      </c>
      <c r="K654" s="120">
        <f t="shared" si="110"/>
        <v>0</v>
      </c>
      <c r="L654" s="5">
        <v>0</v>
      </c>
      <c r="M654" s="81"/>
      <c r="N654" s="36"/>
      <c r="O654" s="35">
        <f t="shared" si="111"/>
        <v>0</v>
      </c>
      <c r="P654" s="90"/>
    </row>
    <row r="655" spans="1:16" ht="12.75">
      <c r="A655" s="145"/>
      <c r="B655" s="147">
        <v>85401</v>
      </c>
      <c r="C655" s="4"/>
      <c r="D655" s="3" t="s">
        <v>198</v>
      </c>
      <c r="E655" s="5" t="e">
        <f>E656+E657+E658+E659+E660+E661+E662+#REF!+#REF!+#REF!</f>
        <v>#REF!</v>
      </c>
      <c r="F655" s="5" t="e">
        <f>F656+F657+F658+F659+F660+F661+F662+#REF!+#REF!+#REF!</f>
        <v>#REF!</v>
      </c>
      <c r="G655" s="5" t="e">
        <f>G656+G657+G658+G659+G660+G661+G662+#REF!+#REF!+#REF!</f>
        <v>#REF!</v>
      </c>
      <c r="H655" s="5" t="e">
        <f>H656+H657+H658+H659+H660+H661+H662+#REF!+#REF!+#REF!</f>
        <v>#REF!</v>
      </c>
      <c r="I655" s="39" t="e">
        <f t="shared" si="112"/>
        <v>#REF!</v>
      </c>
      <c r="J655" s="5">
        <f>J656+J657+J658+J659+J660+J661+J662</f>
        <v>333844</v>
      </c>
      <c r="K655" s="120">
        <f t="shared" si="110"/>
        <v>1.2535246575938206</v>
      </c>
      <c r="L655" s="5">
        <f>L656+L657+L658+L659+L660+L661+L662</f>
        <v>274844</v>
      </c>
      <c r="M655" s="45" t="e">
        <f>M656+M657+M658+M659+M660+M661+M662+#REF!+#REF!+#REF!</f>
        <v>#REF!</v>
      </c>
      <c r="N655" s="38">
        <f aca="true" t="shared" si="113" ref="N655:N665">(L655/J655)*100</f>
        <v>82.32707492122069</v>
      </c>
      <c r="O655" s="67">
        <f t="shared" si="111"/>
        <v>1.1081376235402913</v>
      </c>
      <c r="P655" s="90"/>
    </row>
    <row r="656" spans="1:16" ht="12.75">
      <c r="A656" s="145"/>
      <c r="B656" s="148"/>
      <c r="C656" s="4">
        <v>3020</v>
      </c>
      <c r="D656" s="4" t="s">
        <v>199</v>
      </c>
      <c r="E656" s="6">
        <v>20156.38</v>
      </c>
      <c r="F656" s="6">
        <v>18840</v>
      </c>
      <c r="G656" s="6">
        <v>18840</v>
      </c>
      <c r="H656" s="6">
        <v>12936.29</v>
      </c>
      <c r="I656" s="39">
        <f t="shared" si="112"/>
        <v>68.66395966029725</v>
      </c>
      <c r="J656" s="6">
        <v>18543</v>
      </c>
      <c r="K656" s="119">
        <f t="shared" si="110"/>
        <v>0.06962565667126627</v>
      </c>
      <c r="L656" s="29">
        <v>14826</v>
      </c>
      <c r="M656" s="80"/>
      <c r="N656" s="36">
        <f t="shared" si="113"/>
        <v>79.95469988674971</v>
      </c>
      <c r="O656" s="35">
        <f t="shared" si="111"/>
        <v>0.059776631131144786</v>
      </c>
      <c r="P656" s="90"/>
    </row>
    <row r="657" spans="1:16" ht="12.75">
      <c r="A657" s="145"/>
      <c r="B657" s="148"/>
      <c r="C657" s="4">
        <v>4010</v>
      </c>
      <c r="D657" s="4" t="s">
        <v>188</v>
      </c>
      <c r="E657" s="6">
        <v>298539.29</v>
      </c>
      <c r="F657" s="6">
        <v>232507</v>
      </c>
      <c r="G657" s="6">
        <v>232507</v>
      </c>
      <c r="H657" s="6">
        <v>163614.15</v>
      </c>
      <c r="I657" s="39">
        <f t="shared" si="112"/>
        <v>70.36955876597264</v>
      </c>
      <c r="J657" s="6">
        <v>229800</v>
      </c>
      <c r="K657" s="119">
        <f t="shared" si="110"/>
        <v>0.8628580004884318</v>
      </c>
      <c r="L657" s="29">
        <v>187364</v>
      </c>
      <c r="M657" s="80"/>
      <c r="N657" s="36">
        <f t="shared" si="113"/>
        <v>81.53350739773715</v>
      </c>
      <c r="O657" s="35">
        <f t="shared" si="111"/>
        <v>0.7554288894682187</v>
      </c>
      <c r="P657" s="90"/>
    </row>
    <row r="658" spans="1:16" ht="12.75">
      <c r="A658" s="145"/>
      <c r="B658" s="148"/>
      <c r="C658" s="4">
        <v>4040</v>
      </c>
      <c r="D658" s="4" t="s">
        <v>97</v>
      </c>
      <c r="E658" s="6">
        <v>20707.32</v>
      </c>
      <c r="F658" s="6">
        <v>22640</v>
      </c>
      <c r="G658" s="6">
        <v>22640</v>
      </c>
      <c r="H658" s="6">
        <v>22354.22</v>
      </c>
      <c r="I658" s="39">
        <f t="shared" si="112"/>
        <v>98.73772084805654</v>
      </c>
      <c r="J658" s="6">
        <v>22356</v>
      </c>
      <c r="K658" s="119">
        <f t="shared" si="110"/>
        <v>0.08394279137910958</v>
      </c>
      <c r="L658" s="29">
        <v>20270</v>
      </c>
      <c r="M658" s="80"/>
      <c r="N658" s="36">
        <f t="shared" si="113"/>
        <v>90.66917158704598</v>
      </c>
      <c r="O658" s="35">
        <f t="shared" si="111"/>
        <v>0.08172617786512242</v>
      </c>
      <c r="P658" s="90"/>
    </row>
    <row r="659" spans="1:16" ht="12.75">
      <c r="A659" s="145"/>
      <c r="B659" s="148"/>
      <c r="C659" s="4">
        <v>4110</v>
      </c>
      <c r="D659" s="4" t="s">
        <v>189</v>
      </c>
      <c r="E659" s="6">
        <v>48707.07</v>
      </c>
      <c r="F659" s="6">
        <v>41380</v>
      </c>
      <c r="G659" s="6">
        <v>46348</v>
      </c>
      <c r="H659" s="6">
        <v>31410.28</v>
      </c>
      <c r="I659" s="39">
        <f t="shared" si="112"/>
        <v>67.77051868473288</v>
      </c>
      <c r="J659" s="6">
        <v>45995</v>
      </c>
      <c r="K659" s="119">
        <f t="shared" si="110"/>
        <v>0.17270301885320025</v>
      </c>
      <c r="L659" s="29">
        <v>34639</v>
      </c>
      <c r="M659" s="80"/>
      <c r="N659" s="36">
        <f t="shared" si="113"/>
        <v>75.31035982171976</v>
      </c>
      <c r="O659" s="35">
        <f t="shared" si="111"/>
        <v>0.13966024050665887</v>
      </c>
      <c r="P659" s="90"/>
    </row>
    <row r="660" spans="1:16" ht="12.75">
      <c r="A660" s="145"/>
      <c r="B660" s="148"/>
      <c r="C660" s="4">
        <v>4120</v>
      </c>
      <c r="D660" s="4" t="s">
        <v>106</v>
      </c>
      <c r="E660" s="6">
        <v>4347.86</v>
      </c>
      <c r="F660" s="6">
        <v>6457</v>
      </c>
      <c r="G660" s="6">
        <v>6457</v>
      </c>
      <c r="H660" s="6">
        <v>2761.15</v>
      </c>
      <c r="I660" s="39">
        <f t="shared" si="112"/>
        <v>42.762118630943164</v>
      </c>
      <c r="J660" s="6">
        <v>3990</v>
      </c>
      <c r="K660" s="119">
        <f t="shared" si="110"/>
        <v>0.014981738128585042</v>
      </c>
      <c r="L660" s="29">
        <v>4937</v>
      </c>
      <c r="M660" s="80"/>
      <c r="N660" s="36">
        <f t="shared" si="113"/>
        <v>123.73433583959901</v>
      </c>
      <c r="O660" s="35">
        <f t="shared" si="111"/>
        <v>0.019905384317716296</v>
      </c>
      <c r="P660" s="90"/>
    </row>
    <row r="661" spans="1:16" ht="12.75">
      <c r="A661" s="145"/>
      <c r="B661" s="148"/>
      <c r="C661" s="4">
        <v>4210</v>
      </c>
      <c r="D661" s="4" t="s">
        <v>74</v>
      </c>
      <c r="E661" s="6"/>
      <c r="F661" s="6">
        <v>1000</v>
      </c>
      <c r="G661" s="6">
        <v>699</v>
      </c>
      <c r="H661" s="6"/>
      <c r="I661" s="39">
        <f t="shared" si="112"/>
        <v>0</v>
      </c>
      <c r="J661" s="6">
        <v>199</v>
      </c>
      <c r="K661" s="119">
        <f t="shared" si="110"/>
        <v>0.0007472094956361963</v>
      </c>
      <c r="L661" s="29">
        <v>1000</v>
      </c>
      <c r="M661" s="80"/>
      <c r="N661" s="36">
        <f t="shared" si="113"/>
        <v>502.5125628140704</v>
      </c>
      <c r="O661" s="35">
        <f t="shared" si="111"/>
        <v>0.0040318785330598125</v>
      </c>
      <c r="P661" s="90"/>
    </row>
    <row r="662" spans="1:16" ht="12.75">
      <c r="A662" s="145"/>
      <c r="B662" s="148"/>
      <c r="C662" s="4">
        <v>4440</v>
      </c>
      <c r="D662" s="4" t="s">
        <v>200</v>
      </c>
      <c r="E662" s="6">
        <v>14803.26</v>
      </c>
      <c r="F662" s="6">
        <v>12960</v>
      </c>
      <c r="G662" s="6">
        <v>12960</v>
      </c>
      <c r="H662" s="6">
        <v>12960</v>
      </c>
      <c r="I662" s="39">
        <f t="shared" si="112"/>
        <v>100</v>
      </c>
      <c r="J662" s="6">
        <v>12961</v>
      </c>
      <c r="K662" s="119">
        <f t="shared" si="110"/>
        <v>0.04866624257759166</v>
      </c>
      <c r="L662" s="29">
        <v>11808</v>
      </c>
      <c r="M662" s="80"/>
      <c r="N662" s="36">
        <f t="shared" si="113"/>
        <v>91.10408147519482</v>
      </c>
      <c r="O662" s="35">
        <f t="shared" si="111"/>
        <v>0.04760842171837027</v>
      </c>
      <c r="P662" s="90"/>
    </row>
    <row r="663" spans="1:16" ht="12.75">
      <c r="A663" s="145"/>
      <c r="B663" s="155">
        <v>85415</v>
      </c>
      <c r="C663" s="4"/>
      <c r="D663" s="3" t="s">
        <v>30</v>
      </c>
      <c r="E663" s="5">
        <f>E664+E665</f>
        <v>208336.2</v>
      </c>
      <c r="F663" s="5">
        <f>F664+F665</f>
        <v>10000</v>
      </c>
      <c r="G663" s="5">
        <f>G664+G665</f>
        <v>113308</v>
      </c>
      <c r="H663" s="5">
        <f>H664+H665</f>
        <v>113307.8</v>
      </c>
      <c r="I663" s="39">
        <f t="shared" si="112"/>
        <v>99.99982348995658</v>
      </c>
      <c r="J663" s="5">
        <f>J664+J665</f>
        <v>261007.8</v>
      </c>
      <c r="K663" s="120">
        <f t="shared" si="110"/>
        <v>0.9800377215834833</v>
      </c>
      <c r="L663" s="5">
        <f>L664+L665</f>
        <v>10000</v>
      </c>
      <c r="M663" s="45">
        <f>M664+M665</f>
        <v>0</v>
      </c>
      <c r="N663" s="38">
        <f t="shared" si="113"/>
        <v>3.831303125806968</v>
      </c>
      <c r="O663" s="67">
        <f t="shared" si="111"/>
        <v>0.040318785330598135</v>
      </c>
      <c r="P663" s="90"/>
    </row>
    <row r="664" spans="1:16" ht="12.75">
      <c r="A664" s="145"/>
      <c r="B664" s="155"/>
      <c r="C664" s="4">
        <v>3240</v>
      </c>
      <c r="D664" s="4" t="s">
        <v>201</v>
      </c>
      <c r="E664" s="6">
        <v>188481.2</v>
      </c>
      <c r="F664" s="6">
        <v>10000</v>
      </c>
      <c r="G664" s="6">
        <v>93581</v>
      </c>
      <c r="H664" s="6">
        <v>93580.8</v>
      </c>
      <c r="I664" s="39">
        <f t="shared" si="112"/>
        <v>99.99978628140327</v>
      </c>
      <c r="J664" s="6">
        <v>241280.8</v>
      </c>
      <c r="K664" s="119">
        <f t="shared" si="110"/>
        <v>0.905966356154261</v>
      </c>
      <c r="L664" s="29">
        <v>10000</v>
      </c>
      <c r="M664" s="80"/>
      <c r="N664" s="36">
        <f t="shared" si="113"/>
        <v>4.144548592345516</v>
      </c>
      <c r="O664" s="35">
        <f t="shared" si="111"/>
        <v>0.040318785330598135</v>
      </c>
      <c r="P664" s="90"/>
    </row>
    <row r="665" spans="1:16" ht="12.75">
      <c r="A665" s="145"/>
      <c r="B665" s="155"/>
      <c r="C665" s="4">
        <v>3260</v>
      </c>
      <c r="D665" s="4" t="s">
        <v>225</v>
      </c>
      <c r="E665" s="6">
        <v>19855</v>
      </c>
      <c r="F665" s="6"/>
      <c r="G665" s="6">
        <v>19727</v>
      </c>
      <c r="H665" s="6">
        <v>19727</v>
      </c>
      <c r="I665" s="39">
        <f t="shared" si="112"/>
        <v>100</v>
      </c>
      <c r="J665" s="6">
        <v>19727</v>
      </c>
      <c r="K665" s="119">
        <f t="shared" si="110"/>
        <v>0.07407136542922232</v>
      </c>
      <c r="L665" s="29"/>
      <c r="M665" s="80"/>
      <c r="N665" s="36">
        <f t="shared" si="113"/>
        <v>0</v>
      </c>
      <c r="O665" s="35">
        <f t="shared" si="111"/>
        <v>0</v>
      </c>
      <c r="P665" s="90"/>
    </row>
    <row r="666" spans="1:16" ht="12.75">
      <c r="A666" s="145"/>
      <c r="B666" s="147">
        <v>85446</v>
      </c>
      <c r="C666" s="4"/>
      <c r="D666" s="3" t="s">
        <v>202</v>
      </c>
      <c r="E666" s="5">
        <f>E667+E668</f>
        <v>0</v>
      </c>
      <c r="F666" s="5">
        <f>F667+F668</f>
        <v>2140</v>
      </c>
      <c r="G666" s="5">
        <f>G667+G668</f>
        <v>2140</v>
      </c>
      <c r="H666" s="5">
        <f>H667+H668</f>
        <v>0</v>
      </c>
      <c r="I666" s="39">
        <f t="shared" si="112"/>
        <v>0</v>
      </c>
      <c r="J666" s="5">
        <f>J667+J668</f>
        <v>0</v>
      </c>
      <c r="K666" s="120">
        <f t="shared" si="110"/>
        <v>0</v>
      </c>
      <c r="L666" s="5">
        <f>L667+L668</f>
        <v>1677</v>
      </c>
      <c r="M666" s="45">
        <f>M667+M668</f>
        <v>0</v>
      </c>
      <c r="N666" s="38"/>
      <c r="O666" s="67">
        <f t="shared" si="111"/>
        <v>0.0067614602999413066</v>
      </c>
      <c r="P666" s="90"/>
    </row>
    <row r="667" spans="1:16" ht="12.75">
      <c r="A667" s="145"/>
      <c r="B667" s="150"/>
      <c r="C667" s="4">
        <v>4300</v>
      </c>
      <c r="D667" s="4" t="s">
        <v>79</v>
      </c>
      <c r="E667" s="6"/>
      <c r="F667" s="6">
        <v>1857</v>
      </c>
      <c r="G667" s="6">
        <v>1857</v>
      </c>
      <c r="H667" s="6"/>
      <c r="I667" s="39">
        <f t="shared" si="112"/>
        <v>0</v>
      </c>
      <c r="J667" s="6"/>
      <c r="K667" s="119">
        <f t="shared" si="110"/>
        <v>0</v>
      </c>
      <c r="L667" s="29">
        <v>1400</v>
      </c>
      <c r="M667" s="80"/>
      <c r="N667" s="36"/>
      <c r="O667" s="35">
        <f t="shared" si="111"/>
        <v>0.005644629946283738</v>
      </c>
      <c r="P667" s="90"/>
    </row>
    <row r="668" spans="1:16" ht="12.75">
      <c r="A668" s="146"/>
      <c r="B668" s="149"/>
      <c r="C668" s="4">
        <v>4410</v>
      </c>
      <c r="D668" s="4" t="s">
        <v>125</v>
      </c>
      <c r="E668" s="6"/>
      <c r="F668" s="6">
        <v>283</v>
      </c>
      <c r="G668" s="6">
        <v>283</v>
      </c>
      <c r="H668" s="6"/>
      <c r="I668" s="39">
        <f t="shared" si="112"/>
        <v>0</v>
      </c>
      <c r="J668" s="6"/>
      <c r="K668" s="119">
        <f t="shared" si="110"/>
        <v>0</v>
      </c>
      <c r="L668" s="29">
        <v>277</v>
      </c>
      <c r="M668" s="80"/>
      <c r="N668" s="36"/>
      <c r="O668" s="35">
        <f t="shared" si="111"/>
        <v>0.0011168303536575684</v>
      </c>
      <c r="P668" s="90"/>
    </row>
    <row r="669" spans="1:16" ht="27" customHeight="1">
      <c r="A669" s="164">
        <v>900</v>
      </c>
      <c r="B669" s="3"/>
      <c r="C669" s="4"/>
      <c r="D669" s="3" t="s">
        <v>219</v>
      </c>
      <c r="E669" s="5" t="e">
        <f>E676+E687+E691+E693+E696+E702+#REF!+E699</f>
        <v>#REF!</v>
      </c>
      <c r="F669" s="5" t="e">
        <f>F676+F687+F691+F693+F696+F702+#REF!+F699</f>
        <v>#REF!</v>
      </c>
      <c r="G669" s="5" t="e">
        <f>G676+G687+G691+G693+G696+G702+#REF!+G699</f>
        <v>#REF!</v>
      </c>
      <c r="H669" s="5" t="e">
        <f>H676+H687+H691+H693+H696+H702+#REF!+H699</f>
        <v>#REF!</v>
      </c>
      <c r="I669" s="39" t="e">
        <f t="shared" si="112"/>
        <v>#REF!</v>
      </c>
      <c r="J669" s="5">
        <f>J676+J687+J691+J693+J696+J702+J699</f>
        <v>3635527.8200000003</v>
      </c>
      <c r="K669" s="120">
        <f t="shared" si="110"/>
        <v>13.650758335445026</v>
      </c>
      <c r="L669" s="5">
        <f>L676+L687+L691+L693+L696+L702+L699</f>
        <v>3175352.07</v>
      </c>
      <c r="M669" s="45"/>
      <c r="N669" s="38">
        <f aca="true" t="shared" si="114" ref="N669:N674">(L669/J669)*100</f>
        <v>87.34225749921507</v>
      </c>
      <c r="O669" s="67">
        <f t="shared" si="111"/>
        <v>12.80263384594004</v>
      </c>
      <c r="P669" s="90"/>
    </row>
    <row r="670" spans="1:16" s="108" customFormat="1" ht="12.75">
      <c r="A670" s="145"/>
      <c r="B670" s="4"/>
      <c r="C670" s="4"/>
      <c r="D670" s="8" t="s">
        <v>232</v>
      </c>
      <c r="E670" s="6" t="e">
        <f>E669-E671-E673</f>
        <v>#REF!</v>
      </c>
      <c r="F670" s="6" t="e">
        <f>F669-F671-F673</f>
        <v>#REF!</v>
      </c>
      <c r="G670" s="6" t="e">
        <f>G669-G671-G673</f>
        <v>#REF!</v>
      </c>
      <c r="H670" s="6" t="e">
        <f>H669-H671-H673</f>
        <v>#REF!</v>
      </c>
      <c r="I670" s="39" t="e">
        <f t="shared" si="112"/>
        <v>#REF!</v>
      </c>
      <c r="J670" s="6">
        <f>J669-J671-J673</f>
        <v>830620.8700000001</v>
      </c>
      <c r="K670" s="119">
        <f t="shared" si="110"/>
        <v>3.118833172550747</v>
      </c>
      <c r="L670" s="6">
        <f>L669-L671-L673</f>
        <v>1236739.7999999998</v>
      </c>
      <c r="M670" s="43"/>
      <c r="N670" s="36">
        <f t="shared" si="114"/>
        <v>148.89341752272605</v>
      </c>
      <c r="O670" s="35">
        <f t="shared" si="111"/>
        <v>4.9863846506006855</v>
      </c>
      <c r="P670" s="90"/>
    </row>
    <row r="671" spans="1:16" s="108" customFormat="1" ht="12.75">
      <c r="A671" s="145"/>
      <c r="B671" s="4"/>
      <c r="C671" s="4"/>
      <c r="D671" s="8" t="s">
        <v>231</v>
      </c>
      <c r="E671" s="6" t="e">
        <f>#REF!+E681+E684+#REF!</f>
        <v>#REF!</v>
      </c>
      <c r="F671" s="6" t="e">
        <f>#REF!+F681+F684+#REF!</f>
        <v>#REF!</v>
      </c>
      <c r="G671" s="6" t="e">
        <f>#REF!+G681+G684+#REF!</f>
        <v>#REF!</v>
      </c>
      <c r="H671" s="6" t="e">
        <f>#REF!+H681+H684+#REF!</f>
        <v>#REF!</v>
      </c>
      <c r="I671" s="39" t="e">
        <f t="shared" si="112"/>
        <v>#REF!</v>
      </c>
      <c r="J671" s="6">
        <f>J681+J684</f>
        <v>2696906.95</v>
      </c>
      <c r="K671" s="119">
        <f t="shared" si="110"/>
        <v>10.126404431594233</v>
      </c>
      <c r="L671" s="6">
        <f>L681+L684</f>
        <v>1865612.27</v>
      </c>
      <c r="M671" s="43" t="e">
        <f>#REF!+M681+M684+#REF!</f>
        <v>#REF!</v>
      </c>
      <c r="N671" s="36">
        <f t="shared" si="114"/>
        <v>69.17599696941713</v>
      </c>
      <c r="O671" s="35">
        <f t="shared" si="111"/>
        <v>7.521922062425988</v>
      </c>
      <c r="P671" s="90"/>
    </row>
    <row r="672" spans="1:16" s="108" customFormat="1" ht="12.75">
      <c r="A672" s="145"/>
      <c r="B672" s="4"/>
      <c r="C672" s="4"/>
      <c r="D672" s="8" t="s">
        <v>345</v>
      </c>
      <c r="E672" s="6">
        <f>E681+E684</f>
        <v>22017.63</v>
      </c>
      <c r="F672" s="6">
        <f>F681+F684</f>
        <v>4177563.13</v>
      </c>
      <c r="G672" s="6">
        <f>G681+G684</f>
        <v>3882353.13</v>
      </c>
      <c r="H672" s="6">
        <f>H681+H684</f>
        <v>1846033.94</v>
      </c>
      <c r="I672" s="39">
        <f t="shared" si="112"/>
        <v>47.54935674797826</v>
      </c>
      <c r="J672" s="6">
        <f>J681+J684</f>
        <v>2696906.95</v>
      </c>
      <c r="K672" s="119">
        <f t="shared" si="110"/>
        <v>10.126404431594233</v>
      </c>
      <c r="L672" s="6">
        <f>L681+L684</f>
        <v>1865612.27</v>
      </c>
      <c r="M672" s="43"/>
      <c r="N672" s="36">
        <f t="shared" si="114"/>
        <v>69.17599696941713</v>
      </c>
      <c r="O672" s="35">
        <f t="shared" si="111"/>
        <v>7.521922062425988</v>
      </c>
      <c r="P672" s="90"/>
    </row>
    <row r="673" spans="1:16" s="108" customFormat="1" ht="12.75">
      <c r="A673" s="145"/>
      <c r="B673" s="4"/>
      <c r="C673" s="4"/>
      <c r="D673" s="8" t="s">
        <v>237</v>
      </c>
      <c r="E673" s="6" t="e">
        <f>#REF!+E690</f>
        <v>#REF!</v>
      </c>
      <c r="F673" s="6" t="e">
        <f>#REF!+F690</f>
        <v>#REF!</v>
      </c>
      <c r="G673" s="6" t="e">
        <f>#REF!+G690</f>
        <v>#REF!</v>
      </c>
      <c r="H673" s="6" t="e">
        <f>#REF!+H690</f>
        <v>#REF!</v>
      </c>
      <c r="I673" s="39" t="e">
        <f t="shared" si="112"/>
        <v>#REF!</v>
      </c>
      <c r="J673" s="6">
        <f>J690</f>
        <v>108000</v>
      </c>
      <c r="K673" s="119">
        <f t="shared" si="110"/>
        <v>0.40552073130004623</v>
      </c>
      <c r="L673" s="6">
        <f>L690</f>
        <v>73000</v>
      </c>
      <c r="M673" s="43" t="e">
        <f>#REF!+M690</f>
        <v>#REF!</v>
      </c>
      <c r="N673" s="36">
        <f t="shared" si="114"/>
        <v>67.5925925925926</v>
      </c>
      <c r="O673" s="35">
        <f t="shared" si="111"/>
        <v>0.2943271329133663</v>
      </c>
      <c r="P673" s="90"/>
    </row>
    <row r="674" spans="1:16" s="108" customFormat="1" ht="12.75">
      <c r="A674" s="145"/>
      <c r="B674" s="4"/>
      <c r="C674" s="4"/>
      <c r="D674" s="8" t="s">
        <v>354</v>
      </c>
      <c r="E674" s="27" t="e">
        <f>E670+E671+E673</f>
        <v>#REF!</v>
      </c>
      <c r="F674" s="27" t="e">
        <f>F670+F671+F673</f>
        <v>#REF!</v>
      </c>
      <c r="G674" s="27" t="e">
        <f>G670+G671+G673</f>
        <v>#REF!</v>
      </c>
      <c r="H674" s="27" t="e">
        <f>H670+H671+H673</f>
        <v>#REF!</v>
      </c>
      <c r="I674" s="39" t="e">
        <f t="shared" si="112"/>
        <v>#REF!</v>
      </c>
      <c r="J674" s="27">
        <f>J670+J671+J673</f>
        <v>3635527.8200000003</v>
      </c>
      <c r="K674" s="119">
        <f t="shared" si="110"/>
        <v>13.650758335445026</v>
      </c>
      <c r="L674" s="27">
        <f>L670+L671+L673</f>
        <v>3175352.07</v>
      </c>
      <c r="M674" s="31" t="e">
        <f>M670+M671+M673</f>
        <v>#REF!</v>
      </c>
      <c r="N674" s="113">
        <f t="shared" si="114"/>
        <v>87.34225749921507</v>
      </c>
      <c r="O674" s="35">
        <f t="shared" si="111"/>
        <v>12.80263384594004</v>
      </c>
      <c r="P674" s="90"/>
    </row>
    <row r="675" spans="1:16" s="108" customFormat="1" ht="12.75">
      <c r="A675" s="145"/>
      <c r="B675" s="4"/>
      <c r="C675" s="4"/>
      <c r="D675" s="8" t="s">
        <v>254</v>
      </c>
      <c r="E675" s="6"/>
      <c r="F675" s="6"/>
      <c r="G675" s="6"/>
      <c r="H675" s="6"/>
      <c r="I675" s="39" t="e">
        <f t="shared" si="112"/>
        <v>#DIV/0!</v>
      </c>
      <c r="J675" s="6"/>
      <c r="K675" s="119">
        <f t="shared" si="110"/>
        <v>0</v>
      </c>
      <c r="L675" s="6"/>
      <c r="M675" s="43"/>
      <c r="N675" s="36"/>
      <c r="O675" s="35">
        <f t="shared" si="111"/>
        <v>0</v>
      </c>
      <c r="P675" s="90"/>
    </row>
    <row r="676" spans="1:16" ht="12.75">
      <c r="A676" s="145"/>
      <c r="B676" s="147">
        <v>90001</v>
      </c>
      <c r="C676" s="3"/>
      <c r="D676" s="3" t="s">
        <v>31</v>
      </c>
      <c r="E676" s="5" t="e">
        <f>E679+#REF!+E681+E684+E677+E680+E678+#REF!+#REF!</f>
        <v>#REF!</v>
      </c>
      <c r="F676" s="5" t="e">
        <f>F679+#REF!+F681+F684+F677+F680+F678+#REF!+#REF!</f>
        <v>#REF!</v>
      </c>
      <c r="G676" s="5" t="e">
        <f>G679+#REF!+G681+G684+G677+G680+G678+#REF!+#REF!</f>
        <v>#REF!</v>
      </c>
      <c r="H676" s="5" t="e">
        <f>H679+#REF!+H681+H684+H677+H680+H678+#REF!+#REF!</f>
        <v>#REF!</v>
      </c>
      <c r="I676" s="39" t="e">
        <f t="shared" si="112"/>
        <v>#REF!</v>
      </c>
      <c r="J676" s="5">
        <f>J679+J681+J684+J677+J680+J678</f>
        <v>2949466.95</v>
      </c>
      <c r="K676" s="120">
        <f t="shared" si="110"/>
        <v>11.074722171382565</v>
      </c>
      <c r="L676" s="5">
        <f>L679+L681+L684+L677+L680+L678</f>
        <v>2118172.27</v>
      </c>
      <c r="M676" s="45" t="e">
        <f>M679+#REF!+M681+M684+M677+M680+M678+#REF!+#REF!</f>
        <v>#REF!</v>
      </c>
      <c r="N676" s="38">
        <f aca="true" t="shared" si="115" ref="N676:N681">(L676/J676)*100</f>
        <v>71.81542651291618</v>
      </c>
      <c r="O676" s="67">
        <f t="shared" si="111"/>
        <v>8.540213304735575</v>
      </c>
      <c r="P676" s="90"/>
    </row>
    <row r="677" spans="1:16" ht="12.75">
      <c r="A677" s="145"/>
      <c r="B677" s="150"/>
      <c r="C677" s="4">
        <v>4210</v>
      </c>
      <c r="D677" s="4" t="s">
        <v>74</v>
      </c>
      <c r="E677" s="6">
        <v>2712.83</v>
      </c>
      <c r="F677" s="6">
        <v>13500</v>
      </c>
      <c r="G677" s="6">
        <v>13500</v>
      </c>
      <c r="H677" s="6">
        <v>344.82</v>
      </c>
      <c r="I677" s="39">
        <f t="shared" si="112"/>
        <v>2.554222222222222</v>
      </c>
      <c r="J677" s="6">
        <v>1500</v>
      </c>
      <c r="K677" s="119">
        <f t="shared" si="110"/>
        <v>0.005632232379167309</v>
      </c>
      <c r="L677" s="29">
        <v>1500</v>
      </c>
      <c r="M677" s="80"/>
      <c r="N677" s="36">
        <f t="shared" si="115"/>
        <v>100</v>
      </c>
      <c r="O677" s="35">
        <f t="shared" si="111"/>
        <v>0.0060478177995897196</v>
      </c>
      <c r="P677" s="90"/>
    </row>
    <row r="678" spans="1:16" ht="12.75">
      <c r="A678" s="145"/>
      <c r="B678" s="150"/>
      <c r="C678" s="4">
        <v>4260</v>
      </c>
      <c r="D678" s="4" t="s">
        <v>75</v>
      </c>
      <c r="E678" s="6">
        <v>10704.46</v>
      </c>
      <c r="F678" s="6">
        <v>65000</v>
      </c>
      <c r="G678" s="6">
        <v>233560</v>
      </c>
      <c r="H678" s="6">
        <v>145140.27</v>
      </c>
      <c r="I678" s="39">
        <f t="shared" si="112"/>
        <v>62.14260575441</v>
      </c>
      <c r="J678" s="6">
        <v>233560</v>
      </c>
      <c r="K678" s="119">
        <f t="shared" si="110"/>
        <v>0.8769761296522112</v>
      </c>
      <c r="L678" s="29">
        <v>233560</v>
      </c>
      <c r="M678" s="80"/>
      <c r="N678" s="36">
        <f t="shared" si="115"/>
        <v>100</v>
      </c>
      <c r="O678" s="35">
        <f t="shared" si="111"/>
        <v>0.94168555018145</v>
      </c>
      <c r="P678" s="90"/>
    </row>
    <row r="679" spans="1:16" ht="12.75">
      <c r="A679" s="145"/>
      <c r="B679" s="150"/>
      <c r="C679" s="4">
        <v>4300</v>
      </c>
      <c r="D679" s="4" t="s">
        <v>87</v>
      </c>
      <c r="E679" s="6">
        <v>3541.19</v>
      </c>
      <c r="F679" s="6">
        <v>19000</v>
      </c>
      <c r="G679" s="6">
        <v>16000</v>
      </c>
      <c r="H679" s="6">
        <v>2875.06</v>
      </c>
      <c r="I679" s="39">
        <f t="shared" si="112"/>
        <v>17.969125</v>
      </c>
      <c r="J679" s="6">
        <v>5000</v>
      </c>
      <c r="K679" s="119">
        <f t="shared" si="110"/>
        <v>0.0187741079305577</v>
      </c>
      <c r="L679" s="29">
        <v>5000</v>
      </c>
      <c r="M679" s="80"/>
      <c r="N679" s="36">
        <f t="shared" si="115"/>
        <v>100</v>
      </c>
      <c r="O679" s="35">
        <f t="shared" si="111"/>
        <v>0.020159392665299068</v>
      </c>
      <c r="P679" s="90"/>
    </row>
    <row r="680" spans="1:16" ht="22.5">
      <c r="A680" s="145"/>
      <c r="B680" s="150"/>
      <c r="C680" s="4">
        <v>4520</v>
      </c>
      <c r="D680" s="4" t="s">
        <v>103</v>
      </c>
      <c r="E680" s="6">
        <v>8565.63</v>
      </c>
      <c r="F680" s="6">
        <v>10000</v>
      </c>
      <c r="G680" s="6">
        <v>13000</v>
      </c>
      <c r="H680" s="6">
        <v>11335.5</v>
      </c>
      <c r="I680" s="39">
        <f t="shared" si="112"/>
        <v>87.19615384615385</v>
      </c>
      <c r="J680" s="6">
        <v>12500</v>
      </c>
      <c r="K680" s="119">
        <f t="shared" si="110"/>
        <v>0.04693526982639424</v>
      </c>
      <c r="L680" s="29">
        <v>12500</v>
      </c>
      <c r="M680" s="80"/>
      <c r="N680" s="36">
        <f t="shared" si="115"/>
        <v>100</v>
      </c>
      <c r="O680" s="35">
        <f t="shared" si="111"/>
        <v>0.05039848166324767</v>
      </c>
      <c r="P680" s="90"/>
    </row>
    <row r="681" spans="1:16" ht="22.5">
      <c r="A681" s="145"/>
      <c r="B681" s="148"/>
      <c r="C681" s="159">
        <v>6057</v>
      </c>
      <c r="D681" s="4" t="s">
        <v>61</v>
      </c>
      <c r="E681" s="6"/>
      <c r="F681" s="6">
        <v>1429830.89</v>
      </c>
      <c r="G681" s="6">
        <v>1406330.89</v>
      </c>
      <c r="H681" s="6">
        <v>761095.92</v>
      </c>
      <c r="I681" s="39">
        <f t="shared" si="112"/>
        <v>54.119263497084965</v>
      </c>
      <c r="J681" s="6">
        <v>1112157.75</v>
      </c>
      <c r="K681" s="119">
        <f t="shared" si="110"/>
        <v>4.175953926861241</v>
      </c>
      <c r="L681" s="6">
        <f>L683</f>
        <v>654844.74</v>
      </c>
      <c r="M681" s="43"/>
      <c r="N681" s="36">
        <f t="shared" si="115"/>
        <v>58.880562582061756</v>
      </c>
      <c r="O681" s="35">
        <f t="shared" si="111"/>
        <v>2.640254449693135</v>
      </c>
      <c r="P681" s="90"/>
    </row>
    <row r="682" spans="1:16" ht="12.75">
      <c r="A682" s="145"/>
      <c r="B682" s="148"/>
      <c r="C682" s="148"/>
      <c r="D682" s="4" t="s">
        <v>344</v>
      </c>
      <c r="E682" s="6"/>
      <c r="F682" s="6"/>
      <c r="G682" s="6"/>
      <c r="H682" s="6">
        <v>760095.91</v>
      </c>
      <c r="I682" s="39" t="e">
        <f t="shared" si="112"/>
        <v>#DIV/0!</v>
      </c>
      <c r="J682" s="6">
        <v>960223.75</v>
      </c>
      <c r="K682" s="119">
        <f t="shared" si="110"/>
        <v>3.6054688639969705</v>
      </c>
      <c r="L682" s="6"/>
      <c r="M682" s="60"/>
      <c r="N682" s="36"/>
      <c r="O682" s="35">
        <f t="shared" si="111"/>
        <v>0</v>
      </c>
      <c r="P682" s="90"/>
    </row>
    <row r="683" spans="1:16" ht="22.5">
      <c r="A683" s="145"/>
      <c r="B683" s="148"/>
      <c r="C683" s="148"/>
      <c r="D683" s="4" t="s">
        <v>286</v>
      </c>
      <c r="E683" s="6"/>
      <c r="F683" s="6"/>
      <c r="G683" s="6"/>
      <c r="H683" s="6">
        <v>1000</v>
      </c>
      <c r="I683" s="39" t="e">
        <f t="shared" si="112"/>
        <v>#DIV/0!</v>
      </c>
      <c r="J683" s="6">
        <v>151934</v>
      </c>
      <c r="K683" s="119">
        <f t="shared" si="110"/>
        <v>0.5704850628642706</v>
      </c>
      <c r="L683" s="29">
        <v>654844.74</v>
      </c>
      <c r="M683" s="80"/>
      <c r="N683" s="36"/>
      <c r="O683" s="35">
        <f t="shared" si="111"/>
        <v>2.640254449693135</v>
      </c>
      <c r="P683" s="90"/>
    </row>
    <row r="684" spans="1:16" ht="30.75" customHeight="1">
      <c r="A684" s="145"/>
      <c r="B684" s="148"/>
      <c r="C684" s="159" t="s">
        <v>37</v>
      </c>
      <c r="D684" s="4" t="s">
        <v>62</v>
      </c>
      <c r="E684" s="6">
        <v>22017.63</v>
      </c>
      <c r="F684" s="6">
        <v>2747732.24</v>
      </c>
      <c r="G684" s="6">
        <v>2476022.24</v>
      </c>
      <c r="H684" s="6">
        <v>1084938.02</v>
      </c>
      <c r="I684" s="39">
        <f t="shared" si="112"/>
        <v>43.81778170134692</v>
      </c>
      <c r="J684" s="6">
        <v>1584749.2</v>
      </c>
      <c r="K684" s="119">
        <f t="shared" si="110"/>
        <v>5.950450504732993</v>
      </c>
      <c r="L684" s="6">
        <f>L686</f>
        <v>1210767.53</v>
      </c>
      <c r="M684" s="43"/>
      <c r="N684" s="36">
        <f>(L684/J684)*100</f>
        <v>76.40120783780803</v>
      </c>
      <c r="O684" s="35">
        <f t="shared" si="111"/>
        <v>4.881667612732853</v>
      </c>
      <c r="P684" s="90"/>
    </row>
    <row r="685" spans="1:16" ht="12.75">
      <c r="A685" s="145"/>
      <c r="B685" s="148"/>
      <c r="C685" s="148"/>
      <c r="D685" s="4" t="s">
        <v>344</v>
      </c>
      <c r="E685" s="6"/>
      <c r="F685" s="6"/>
      <c r="G685" s="6"/>
      <c r="H685" s="6">
        <v>1068811.97</v>
      </c>
      <c r="I685" s="39" t="e">
        <f t="shared" si="112"/>
        <v>#DIV/0!</v>
      </c>
      <c r="J685" s="6">
        <v>1301080.77</v>
      </c>
      <c r="K685" s="119">
        <f t="shared" si="110"/>
        <v>4.8853261604706235</v>
      </c>
      <c r="L685" s="6"/>
      <c r="M685" s="60"/>
      <c r="N685" s="36"/>
      <c r="O685" s="35">
        <f t="shared" si="111"/>
        <v>0</v>
      </c>
      <c r="P685" s="90"/>
    </row>
    <row r="686" spans="1:16" ht="22.5">
      <c r="A686" s="145"/>
      <c r="B686" s="148"/>
      <c r="C686" s="148"/>
      <c r="D686" s="4" t="s">
        <v>286</v>
      </c>
      <c r="E686" s="6"/>
      <c r="F686" s="6"/>
      <c r="G686" s="6"/>
      <c r="H686" s="6">
        <v>16126.05</v>
      </c>
      <c r="I686" s="39" t="e">
        <f t="shared" si="112"/>
        <v>#DIV/0!</v>
      </c>
      <c r="J686" s="6">
        <v>283668.43</v>
      </c>
      <c r="K686" s="119">
        <f t="shared" si="110"/>
        <v>1.0651243442623701</v>
      </c>
      <c r="L686" s="29">
        <v>1210767.53</v>
      </c>
      <c r="M686" s="80"/>
      <c r="N686" s="36"/>
      <c r="O686" s="35">
        <f t="shared" si="111"/>
        <v>4.881667612732853</v>
      </c>
      <c r="P686" s="90"/>
    </row>
    <row r="687" spans="1:16" ht="12.75">
      <c r="A687" s="145"/>
      <c r="B687" s="147" t="s">
        <v>203</v>
      </c>
      <c r="C687" s="3"/>
      <c r="D687" s="3" t="s">
        <v>204</v>
      </c>
      <c r="E687" s="5">
        <f>E688+E689+E690</f>
        <v>102963.08</v>
      </c>
      <c r="F687" s="5">
        <f>F688+F689+F690</f>
        <v>101680</v>
      </c>
      <c r="G687" s="5">
        <f>G688+G689+G690</f>
        <v>209680</v>
      </c>
      <c r="H687" s="5">
        <f>H688+H689+H690</f>
        <v>61790.880000000005</v>
      </c>
      <c r="I687" s="39">
        <f t="shared" si="112"/>
        <v>29.469133918351776</v>
      </c>
      <c r="J687" s="5">
        <f>J688+J689+J690</f>
        <v>192180</v>
      </c>
      <c r="K687" s="120">
        <f t="shared" si="110"/>
        <v>0.7216016124189156</v>
      </c>
      <c r="L687" s="5">
        <f>L688+L689+L690</f>
        <v>464839.8</v>
      </c>
      <c r="M687" s="45">
        <f>M688+M689+M690</f>
        <v>0</v>
      </c>
      <c r="N687" s="38">
        <f aca="true" t="shared" si="116" ref="N687:N698">(L687/J687)*100</f>
        <v>241.87730252887917</v>
      </c>
      <c r="O687" s="67">
        <f t="shared" si="111"/>
        <v>1.8741776109318167</v>
      </c>
      <c r="P687" s="90"/>
    </row>
    <row r="688" spans="1:16" ht="12.75">
      <c r="A688" s="145"/>
      <c r="B688" s="150"/>
      <c r="C688" s="4" t="s">
        <v>101</v>
      </c>
      <c r="D688" s="4" t="s">
        <v>108</v>
      </c>
      <c r="E688" s="6"/>
      <c r="F688" s="6">
        <v>18000</v>
      </c>
      <c r="G688" s="6">
        <v>18000</v>
      </c>
      <c r="H688" s="6">
        <v>171.4</v>
      </c>
      <c r="I688" s="39">
        <f t="shared" si="112"/>
        <v>0.9522222222222222</v>
      </c>
      <c r="J688" s="6">
        <v>500</v>
      </c>
      <c r="K688" s="119">
        <f t="shared" si="110"/>
        <v>0.0018774107930557696</v>
      </c>
      <c r="L688" s="29">
        <v>50000</v>
      </c>
      <c r="M688" s="80"/>
      <c r="N688" s="36">
        <f t="shared" si="116"/>
        <v>10000</v>
      </c>
      <c r="O688" s="35">
        <f t="shared" si="111"/>
        <v>0.20159392665299067</v>
      </c>
      <c r="P688" s="90"/>
    </row>
    <row r="689" spans="1:16" ht="12.75">
      <c r="A689" s="145"/>
      <c r="B689" s="150"/>
      <c r="C689" s="4" t="s">
        <v>78</v>
      </c>
      <c r="D689" s="4" t="s">
        <v>87</v>
      </c>
      <c r="E689" s="6">
        <v>64963.08</v>
      </c>
      <c r="F689" s="6">
        <v>83680</v>
      </c>
      <c r="G689" s="6">
        <v>83680</v>
      </c>
      <c r="H689" s="6">
        <v>61619.48</v>
      </c>
      <c r="I689" s="39">
        <f t="shared" si="112"/>
        <v>73.63704588910134</v>
      </c>
      <c r="J689" s="6">
        <v>83680</v>
      </c>
      <c r="K689" s="119">
        <f t="shared" si="110"/>
        <v>0.3142034703258136</v>
      </c>
      <c r="L689" s="29">
        <v>341839.8</v>
      </c>
      <c r="M689" s="80"/>
      <c r="N689" s="36">
        <f t="shared" si="116"/>
        <v>408.5083652007648</v>
      </c>
      <c r="O689" s="35">
        <f t="shared" si="111"/>
        <v>1.3782565513654599</v>
      </c>
      <c r="P689" s="90"/>
    </row>
    <row r="690" spans="1:16" ht="24.75" customHeight="1">
      <c r="A690" s="145"/>
      <c r="B690" s="150"/>
      <c r="C690" s="4">
        <v>6010</v>
      </c>
      <c r="D690" s="4" t="s">
        <v>266</v>
      </c>
      <c r="E690" s="25">
        <v>38000</v>
      </c>
      <c r="F690" s="25"/>
      <c r="G690" s="25">
        <v>108000</v>
      </c>
      <c r="H690" s="25"/>
      <c r="I690" s="39">
        <f t="shared" si="112"/>
        <v>0</v>
      </c>
      <c r="J690" s="25">
        <v>108000</v>
      </c>
      <c r="K690" s="120">
        <f t="shared" si="110"/>
        <v>0.40552073130004623</v>
      </c>
      <c r="L690" s="25">
        <v>73000</v>
      </c>
      <c r="M690" s="78"/>
      <c r="N690" s="36">
        <f t="shared" si="116"/>
        <v>67.5925925925926</v>
      </c>
      <c r="O690" s="35">
        <f t="shared" si="111"/>
        <v>0.2943271329133663</v>
      </c>
      <c r="P690" s="90"/>
    </row>
    <row r="691" spans="1:16" ht="12.75">
      <c r="A691" s="145"/>
      <c r="B691" s="147" t="s">
        <v>63</v>
      </c>
      <c r="C691" s="3"/>
      <c r="D691" s="3" t="s">
        <v>64</v>
      </c>
      <c r="E691" s="5">
        <f>E692</f>
        <v>153999.97</v>
      </c>
      <c r="F691" s="5">
        <f>F692</f>
        <v>193344</v>
      </c>
      <c r="G691" s="5">
        <f>G692</f>
        <v>193344</v>
      </c>
      <c r="H691" s="5">
        <f>H692</f>
        <v>145839.95</v>
      </c>
      <c r="I691" s="39">
        <f t="shared" si="112"/>
        <v>75.43029522509104</v>
      </c>
      <c r="J691" s="5">
        <f>J692</f>
        <v>193344</v>
      </c>
      <c r="K691" s="120">
        <f t="shared" si="110"/>
        <v>0.7259722247451494</v>
      </c>
      <c r="L691" s="5">
        <f>L692</f>
        <v>231120</v>
      </c>
      <c r="M691" s="45">
        <f>M692</f>
        <v>0</v>
      </c>
      <c r="N691" s="38">
        <f t="shared" si="116"/>
        <v>119.5382323733863</v>
      </c>
      <c r="O691" s="67">
        <f t="shared" si="111"/>
        <v>0.931847766560784</v>
      </c>
      <c r="P691" s="90"/>
    </row>
    <row r="692" spans="1:16" ht="12.75">
      <c r="A692" s="145"/>
      <c r="B692" s="150"/>
      <c r="C692" s="4" t="s">
        <v>78</v>
      </c>
      <c r="D692" s="4" t="s">
        <v>87</v>
      </c>
      <c r="E692" s="6">
        <v>153999.97</v>
      </c>
      <c r="F692" s="6">
        <v>193344</v>
      </c>
      <c r="G692" s="6">
        <v>193344</v>
      </c>
      <c r="H692" s="6">
        <v>145839.95</v>
      </c>
      <c r="I692" s="39">
        <f t="shared" si="112"/>
        <v>75.43029522509104</v>
      </c>
      <c r="J692" s="6">
        <v>193344</v>
      </c>
      <c r="K692" s="119">
        <f t="shared" si="110"/>
        <v>0.7259722247451494</v>
      </c>
      <c r="L692" s="29">
        <v>231120</v>
      </c>
      <c r="M692" s="80"/>
      <c r="N692" s="36">
        <f t="shared" si="116"/>
        <v>119.5382323733863</v>
      </c>
      <c r="O692" s="35">
        <f t="shared" si="111"/>
        <v>0.931847766560784</v>
      </c>
      <c r="P692" s="90"/>
    </row>
    <row r="693" spans="1:16" ht="14.25" customHeight="1">
      <c r="A693" s="145"/>
      <c r="B693" s="147" t="s">
        <v>65</v>
      </c>
      <c r="C693" s="3"/>
      <c r="D693" s="3" t="s">
        <v>66</v>
      </c>
      <c r="E693" s="5">
        <f aca="true" t="shared" si="117" ref="E693:M693">E694+E695</f>
        <v>95693.57</v>
      </c>
      <c r="F693" s="5">
        <f t="shared" si="117"/>
        <v>108999.32</v>
      </c>
      <c r="G693" s="5">
        <f t="shared" si="117"/>
        <v>108999.32</v>
      </c>
      <c r="H693" s="5">
        <f t="shared" si="117"/>
        <v>72054.31</v>
      </c>
      <c r="I693" s="5">
        <f t="shared" si="117"/>
        <v>73.52489439834079</v>
      </c>
      <c r="J693" s="5">
        <f t="shared" si="117"/>
        <v>101198.52</v>
      </c>
      <c r="K693" s="120">
        <f t="shared" si="110"/>
        <v>0.37998238737854034</v>
      </c>
      <c r="L693" s="5">
        <f t="shared" si="117"/>
        <v>122060</v>
      </c>
      <c r="M693" s="45">
        <f t="shared" si="117"/>
        <v>0</v>
      </c>
      <c r="N693" s="38">
        <f t="shared" si="116"/>
        <v>120.61441214752942</v>
      </c>
      <c r="O693" s="67">
        <f t="shared" si="111"/>
        <v>0.4921310937452808</v>
      </c>
      <c r="P693" s="90"/>
    </row>
    <row r="694" spans="1:16" ht="12.75">
      <c r="A694" s="145"/>
      <c r="B694" s="150"/>
      <c r="C694" s="4" t="s">
        <v>101</v>
      </c>
      <c r="D694" s="4" t="s">
        <v>108</v>
      </c>
      <c r="E694" s="6">
        <v>693.57</v>
      </c>
      <c r="F694" s="6">
        <v>8039.32</v>
      </c>
      <c r="G694" s="6">
        <v>8039.32</v>
      </c>
      <c r="H694" s="6">
        <v>188.3</v>
      </c>
      <c r="I694" s="39">
        <f>(H694/G694)*100</f>
        <v>2.3422379007179717</v>
      </c>
      <c r="J694" s="6">
        <v>238.52</v>
      </c>
      <c r="K694" s="119">
        <f t="shared" si="110"/>
        <v>0.0008956000447193244</v>
      </c>
      <c r="L694" s="29">
        <v>1100</v>
      </c>
      <c r="M694" s="80"/>
      <c r="N694" s="36">
        <f t="shared" si="116"/>
        <v>461.17725976857287</v>
      </c>
      <c r="O694" s="35">
        <f t="shared" si="111"/>
        <v>0.004435066386365794</v>
      </c>
      <c r="P694" s="90"/>
    </row>
    <row r="695" spans="1:16" ht="12.75">
      <c r="A695" s="145"/>
      <c r="B695" s="150"/>
      <c r="C695" s="4" t="s">
        <v>78</v>
      </c>
      <c r="D695" s="4" t="s">
        <v>205</v>
      </c>
      <c r="E695" s="6">
        <v>95000</v>
      </c>
      <c r="F695" s="6">
        <v>100960</v>
      </c>
      <c r="G695" s="6">
        <v>100960</v>
      </c>
      <c r="H695" s="6">
        <v>71866.01</v>
      </c>
      <c r="I695" s="39">
        <f>(H695/G695)*100</f>
        <v>71.18265649762282</v>
      </c>
      <c r="J695" s="6">
        <v>100960</v>
      </c>
      <c r="K695" s="119">
        <f t="shared" si="110"/>
        <v>0.379086787333821</v>
      </c>
      <c r="L695" s="29">
        <v>120960</v>
      </c>
      <c r="M695" s="80"/>
      <c r="N695" s="36">
        <f t="shared" si="116"/>
        <v>119.80982567353406</v>
      </c>
      <c r="O695" s="35">
        <f t="shared" si="111"/>
        <v>0.487696027358915</v>
      </c>
      <c r="P695" s="90"/>
    </row>
    <row r="696" spans="1:16" ht="12.75">
      <c r="A696" s="145"/>
      <c r="B696" s="155">
        <v>90015</v>
      </c>
      <c r="C696" s="3"/>
      <c r="D696" s="3" t="s">
        <v>67</v>
      </c>
      <c r="E696" s="5">
        <f aca="true" t="shared" si="118" ref="E696:L696">E697+E698</f>
        <v>109581.43000000001</v>
      </c>
      <c r="F696" s="5">
        <f t="shared" si="118"/>
        <v>114000</v>
      </c>
      <c r="G696" s="5">
        <f t="shared" si="118"/>
        <v>114000</v>
      </c>
      <c r="H696" s="5">
        <f t="shared" si="118"/>
        <v>56697.19</v>
      </c>
      <c r="I696" s="5">
        <f t="shared" si="118"/>
        <v>81.96548073394496</v>
      </c>
      <c r="J696" s="5">
        <f t="shared" si="118"/>
        <v>114000</v>
      </c>
      <c r="K696" s="120">
        <f t="shared" si="110"/>
        <v>0.42804966081671547</v>
      </c>
      <c r="L696" s="5">
        <f t="shared" si="118"/>
        <v>120000</v>
      </c>
      <c r="M696" s="45"/>
      <c r="N696" s="38">
        <f t="shared" si="116"/>
        <v>105.26315789473684</v>
      </c>
      <c r="O696" s="67">
        <f t="shared" si="111"/>
        <v>0.48382542396717754</v>
      </c>
      <c r="P696" s="90"/>
    </row>
    <row r="697" spans="1:16" ht="12.75">
      <c r="A697" s="145"/>
      <c r="B697" s="155"/>
      <c r="C697" s="4" t="s">
        <v>109</v>
      </c>
      <c r="D697" s="4" t="s">
        <v>206</v>
      </c>
      <c r="E697" s="6">
        <v>99129.82</v>
      </c>
      <c r="F697" s="6">
        <v>109000</v>
      </c>
      <c r="G697" s="6">
        <v>109000</v>
      </c>
      <c r="H697" s="6">
        <v>55127.71</v>
      </c>
      <c r="I697" s="39">
        <f>(H697/G697)*100</f>
        <v>50.575880733944956</v>
      </c>
      <c r="J697" s="6">
        <v>109000</v>
      </c>
      <c r="K697" s="119">
        <f t="shared" si="110"/>
        <v>0.4092755528861578</v>
      </c>
      <c r="L697" s="29">
        <v>110000</v>
      </c>
      <c r="M697" s="80"/>
      <c r="N697" s="36">
        <f t="shared" si="116"/>
        <v>100.91743119266054</v>
      </c>
      <c r="O697" s="35">
        <f t="shared" si="111"/>
        <v>0.4435066386365794</v>
      </c>
      <c r="P697" s="90"/>
    </row>
    <row r="698" spans="1:16" ht="12.75">
      <c r="A698" s="145"/>
      <c r="B698" s="155"/>
      <c r="C698" s="4" t="s">
        <v>78</v>
      </c>
      <c r="D698" s="4" t="s">
        <v>79</v>
      </c>
      <c r="E698" s="6">
        <v>10451.61</v>
      </c>
      <c r="F698" s="6">
        <v>5000</v>
      </c>
      <c r="G698" s="6">
        <v>5000</v>
      </c>
      <c r="H698" s="6">
        <v>1569.48</v>
      </c>
      <c r="I698" s="39">
        <f>(H698/G698)*100</f>
        <v>31.3896</v>
      </c>
      <c r="J698" s="6">
        <v>5000</v>
      </c>
      <c r="K698" s="119">
        <f t="shared" si="110"/>
        <v>0.0187741079305577</v>
      </c>
      <c r="L698" s="77">
        <v>10000</v>
      </c>
      <c r="M698" s="77"/>
      <c r="N698" s="36">
        <f t="shared" si="116"/>
        <v>200</v>
      </c>
      <c r="O698" s="35">
        <f t="shared" si="111"/>
        <v>0.040318785330598135</v>
      </c>
      <c r="P698" s="90"/>
    </row>
    <row r="699" spans="1:16" s="108" customFormat="1" ht="21">
      <c r="A699" s="145"/>
      <c r="B699" s="147">
        <v>90019</v>
      </c>
      <c r="C699" s="4"/>
      <c r="D699" s="3" t="s">
        <v>339</v>
      </c>
      <c r="E699" s="5">
        <f>E700+E701</f>
        <v>6707.87</v>
      </c>
      <c r="F699" s="5">
        <f>F700+F701</f>
        <v>9000</v>
      </c>
      <c r="G699" s="5">
        <f>G700+G701</f>
        <v>9000</v>
      </c>
      <c r="H699" s="5">
        <f>H700+H701</f>
        <v>1329.01</v>
      </c>
      <c r="I699" s="38">
        <f>(H699/G699)*100</f>
        <v>14.76677777777778</v>
      </c>
      <c r="J699" s="5">
        <f>J700+J701</f>
        <v>1438.35</v>
      </c>
      <c r="K699" s="120">
        <f t="shared" si="110"/>
        <v>0.005400747628383532</v>
      </c>
      <c r="L699" s="5">
        <f>L700+L701</f>
        <v>3000</v>
      </c>
      <c r="M699" s="45">
        <f>M700+M701</f>
        <v>0</v>
      </c>
      <c r="N699" s="38"/>
      <c r="O699" s="67">
        <f t="shared" si="111"/>
        <v>0.012095635599179439</v>
      </c>
      <c r="P699" s="90"/>
    </row>
    <row r="700" spans="1:16" s="108" customFormat="1" ht="12.75">
      <c r="A700" s="145"/>
      <c r="B700" s="150"/>
      <c r="C700" s="4">
        <v>4210</v>
      </c>
      <c r="D700" s="4" t="s">
        <v>74</v>
      </c>
      <c r="E700" s="6">
        <v>2189.7</v>
      </c>
      <c r="F700" s="6">
        <v>3500</v>
      </c>
      <c r="G700" s="6">
        <v>3500</v>
      </c>
      <c r="H700" s="6">
        <v>409.07</v>
      </c>
      <c r="I700" s="39">
        <f>(H700/G700)*100</f>
        <v>11.687714285714286</v>
      </c>
      <c r="J700" s="6">
        <v>500</v>
      </c>
      <c r="K700" s="119">
        <f t="shared" si="110"/>
        <v>0.0018774107930557696</v>
      </c>
      <c r="L700" s="29">
        <v>1000</v>
      </c>
      <c r="M700" s="80"/>
      <c r="N700" s="36"/>
      <c r="O700" s="35">
        <f t="shared" si="111"/>
        <v>0.0040318785330598125</v>
      </c>
      <c r="P700" s="90"/>
    </row>
    <row r="701" spans="1:16" s="108" customFormat="1" ht="12.75">
      <c r="A701" s="145"/>
      <c r="B701" s="152"/>
      <c r="C701" s="4">
        <v>4300</v>
      </c>
      <c r="D701" s="4" t="s">
        <v>87</v>
      </c>
      <c r="E701" s="6">
        <v>4518.17</v>
      </c>
      <c r="F701" s="6">
        <v>5500</v>
      </c>
      <c r="G701" s="6">
        <v>5500</v>
      </c>
      <c r="H701" s="6">
        <v>919.94</v>
      </c>
      <c r="I701" s="39">
        <f>(H701/G701)*100</f>
        <v>16.726181818181818</v>
      </c>
      <c r="J701" s="6">
        <v>938.35</v>
      </c>
      <c r="K701" s="119">
        <f t="shared" si="110"/>
        <v>0.003523336835327763</v>
      </c>
      <c r="L701" s="29">
        <v>2000</v>
      </c>
      <c r="M701" s="80"/>
      <c r="N701" s="36"/>
      <c r="O701" s="35">
        <f t="shared" si="111"/>
        <v>0.008063757066119625</v>
      </c>
      <c r="P701" s="90"/>
    </row>
    <row r="702" spans="1:16" ht="12.75">
      <c r="A702" s="145"/>
      <c r="B702" s="147" t="s">
        <v>68</v>
      </c>
      <c r="C702" s="3"/>
      <c r="D702" s="3" t="s">
        <v>10</v>
      </c>
      <c r="E702" s="5">
        <f aca="true" t="shared" si="119" ref="E702:M702">E703+E704+E705</f>
        <v>63845.479999999996</v>
      </c>
      <c r="F702" s="5">
        <f t="shared" si="119"/>
        <v>85800</v>
      </c>
      <c r="G702" s="5">
        <f t="shared" si="119"/>
        <v>85800</v>
      </c>
      <c r="H702" s="5">
        <f t="shared" si="119"/>
        <v>55036.39000000001</v>
      </c>
      <c r="I702" s="5">
        <f t="shared" si="119"/>
        <v>94.26981414868105</v>
      </c>
      <c r="J702" s="5">
        <f t="shared" si="119"/>
        <v>83900</v>
      </c>
      <c r="K702" s="120">
        <f t="shared" si="110"/>
        <v>0.3150295310747581</v>
      </c>
      <c r="L702" s="5">
        <f t="shared" si="119"/>
        <v>116160</v>
      </c>
      <c r="M702" s="45">
        <f t="shared" si="119"/>
        <v>0</v>
      </c>
      <c r="N702" s="38">
        <f aca="true" t="shared" si="120" ref="N702:N709">(L702/J702)*100</f>
        <v>138.45053635280095</v>
      </c>
      <c r="O702" s="67">
        <f t="shared" si="111"/>
        <v>0.46834301040022785</v>
      </c>
      <c r="P702" s="90"/>
    </row>
    <row r="703" spans="1:16" ht="12.75">
      <c r="A703" s="145"/>
      <c r="B703" s="150"/>
      <c r="C703" s="4" t="s">
        <v>101</v>
      </c>
      <c r="D703" s="4" t="s">
        <v>108</v>
      </c>
      <c r="E703" s="6">
        <v>2401.88</v>
      </c>
      <c r="F703" s="6">
        <v>2000</v>
      </c>
      <c r="G703" s="6">
        <v>2000</v>
      </c>
      <c r="H703" s="6">
        <v>28.3</v>
      </c>
      <c r="I703" s="39">
        <f>(H703/G703)*100</f>
        <v>1.415</v>
      </c>
      <c r="J703" s="6">
        <v>100</v>
      </c>
      <c r="K703" s="119">
        <f t="shared" si="110"/>
        <v>0.0003754821586111539</v>
      </c>
      <c r="L703" s="29">
        <v>100</v>
      </c>
      <c r="M703" s="80"/>
      <c r="N703" s="36">
        <f t="shared" si="120"/>
        <v>100</v>
      </c>
      <c r="O703" s="35">
        <f t="shared" si="111"/>
        <v>0.00040318785330598127</v>
      </c>
      <c r="P703" s="90"/>
    </row>
    <row r="704" spans="1:16" ht="12.75">
      <c r="A704" s="145"/>
      <c r="B704" s="150"/>
      <c r="C704" s="4" t="s">
        <v>109</v>
      </c>
      <c r="D704" s="4" t="s">
        <v>75</v>
      </c>
      <c r="E704" s="6">
        <v>263.61</v>
      </c>
      <c r="F704" s="6">
        <v>400</v>
      </c>
      <c r="G704" s="6">
        <v>400</v>
      </c>
      <c r="H704" s="6">
        <v>108.11</v>
      </c>
      <c r="I704" s="39">
        <f>(H704/G704)*100</f>
        <v>27.0275</v>
      </c>
      <c r="J704" s="6">
        <v>400</v>
      </c>
      <c r="K704" s="119">
        <f t="shared" si="110"/>
        <v>0.0015019286344446156</v>
      </c>
      <c r="L704" s="29">
        <v>500</v>
      </c>
      <c r="M704" s="80"/>
      <c r="N704" s="36">
        <f t="shared" si="120"/>
        <v>125</v>
      </c>
      <c r="O704" s="35">
        <f t="shared" si="111"/>
        <v>0.0020159392665299062</v>
      </c>
      <c r="P704" s="90"/>
    </row>
    <row r="705" spans="1:16" ht="12.75">
      <c r="A705" s="145"/>
      <c r="B705" s="150"/>
      <c r="C705" s="4" t="s">
        <v>78</v>
      </c>
      <c r="D705" s="4" t="s">
        <v>87</v>
      </c>
      <c r="E705" s="6">
        <v>61179.99</v>
      </c>
      <c r="F705" s="6">
        <v>83400</v>
      </c>
      <c r="G705" s="6">
        <v>83400</v>
      </c>
      <c r="H705" s="6">
        <v>54899.98</v>
      </c>
      <c r="I705" s="39">
        <f>(H705/G705)*100</f>
        <v>65.82731414868105</v>
      </c>
      <c r="J705" s="6">
        <v>83400</v>
      </c>
      <c r="K705" s="119">
        <f t="shared" si="110"/>
        <v>0.31315212028170236</v>
      </c>
      <c r="L705" s="29">
        <v>115560</v>
      </c>
      <c r="M705" s="80"/>
      <c r="N705" s="36">
        <f t="shared" si="120"/>
        <v>138.5611510791367</v>
      </c>
      <c r="O705" s="35">
        <f t="shared" si="111"/>
        <v>0.465923883280392</v>
      </c>
      <c r="P705" s="90"/>
    </row>
    <row r="706" spans="1:16" s="13" customFormat="1" ht="21">
      <c r="A706" s="164">
        <v>921</v>
      </c>
      <c r="B706" s="3"/>
      <c r="C706" s="3"/>
      <c r="D706" s="3" t="s">
        <v>32</v>
      </c>
      <c r="E706" s="5" t="e">
        <f>E712+E715+E717</f>
        <v>#REF!</v>
      </c>
      <c r="F706" s="5" t="e">
        <f>F712+F715+F717</f>
        <v>#REF!</v>
      </c>
      <c r="G706" s="5" t="e">
        <f>G712+G715+G717</f>
        <v>#REF!</v>
      </c>
      <c r="H706" s="5" t="e">
        <f>H712+H715+H717</f>
        <v>#REF!</v>
      </c>
      <c r="I706" s="39" t="e">
        <f>(H706/G706)*100</f>
        <v>#REF!</v>
      </c>
      <c r="J706" s="5">
        <f aca="true" t="shared" si="121" ref="J706:M707">J712+J715+J717</f>
        <v>756149</v>
      </c>
      <c r="K706" s="120">
        <f t="shared" si="110"/>
        <v>2.839204587516654</v>
      </c>
      <c r="L706" s="5">
        <f t="shared" si="121"/>
        <v>752886</v>
      </c>
      <c r="M706" s="45" t="e">
        <f t="shared" si="121"/>
        <v>#REF!</v>
      </c>
      <c r="N706" s="38">
        <f t="shared" si="120"/>
        <v>99.56847129335621</v>
      </c>
      <c r="O706" s="67">
        <f t="shared" si="111"/>
        <v>3.0355449012412703</v>
      </c>
      <c r="P706" s="90"/>
    </row>
    <row r="707" spans="1:16" s="108" customFormat="1" ht="12.75">
      <c r="A707" s="145"/>
      <c r="B707" s="49"/>
      <c r="C707" s="4"/>
      <c r="D707" s="8" t="s">
        <v>232</v>
      </c>
      <c r="E707" s="6" t="e">
        <f>E713+#REF!+E716+E718</f>
        <v>#REF!</v>
      </c>
      <c r="F707" s="6" t="e">
        <f>F713+#REF!+F716+F718</f>
        <v>#REF!</v>
      </c>
      <c r="G707" s="6" t="e">
        <f>G713+#REF!+G716+G718</f>
        <v>#REF!</v>
      </c>
      <c r="H707" s="6" t="e">
        <f>H713+#REF!+H716+H718</f>
        <v>#REF!</v>
      </c>
      <c r="I707" s="6">
        <f>I713+I716+I718</f>
        <v>245.7835387344736</v>
      </c>
      <c r="J707" s="6">
        <f t="shared" si="121"/>
        <v>746149</v>
      </c>
      <c r="K707" s="119">
        <f t="shared" si="110"/>
        <v>2.8016563716555387</v>
      </c>
      <c r="L707" s="6">
        <f t="shared" si="121"/>
        <v>752886</v>
      </c>
      <c r="M707" s="43">
        <f t="shared" si="121"/>
        <v>20</v>
      </c>
      <c r="N707" s="36">
        <f t="shared" si="120"/>
        <v>100.90290277143038</v>
      </c>
      <c r="O707" s="35">
        <f t="shared" si="111"/>
        <v>3.0355449012412703</v>
      </c>
      <c r="P707" s="90"/>
    </row>
    <row r="708" spans="1:16" s="108" customFormat="1" ht="12.75">
      <c r="A708" s="145"/>
      <c r="B708" s="49"/>
      <c r="C708" s="4"/>
      <c r="D708" s="8" t="s">
        <v>231</v>
      </c>
      <c r="E708" s="6" t="e">
        <f>#REF!+#REF!</f>
        <v>#REF!</v>
      </c>
      <c r="F708" s="6" t="e">
        <f>#REF!+#REF!</f>
        <v>#REF!</v>
      </c>
      <c r="G708" s="6" t="e">
        <f>#REF!+#REF!</f>
        <v>#REF!</v>
      </c>
      <c r="H708" s="6" t="e">
        <f>#REF!+#REF!</f>
        <v>#REF!</v>
      </c>
      <c r="I708" s="39" t="e">
        <f>(H708/G708)*100</f>
        <v>#REF!</v>
      </c>
      <c r="J708" s="6"/>
      <c r="K708" s="119">
        <f t="shared" si="110"/>
        <v>0</v>
      </c>
      <c r="L708" s="6"/>
      <c r="M708" s="43" t="e">
        <f>#REF!+#REF!</f>
        <v>#REF!</v>
      </c>
      <c r="N708" s="36"/>
      <c r="O708" s="35">
        <f t="shared" si="111"/>
        <v>0</v>
      </c>
      <c r="P708" s="90"/>
    </row>
    <row r="709" spans="1:16" s="108" customFormat="1" ht="12.75">
      <c r="A709" s="145"/>
      <c r="B709" s="49"/>
      <c r="C709" s="4"/>
      <c r="D709" s="8" t="s">
        <v>235</v>
      </c>
      <c r="E709" s="6" t="e">
        <f>#REF!+E714+#REF!</f>
        <v>#REF!</v>
      </c>
      <c r="F709" s="6" t="e">
        <f>#REF!+F714+#REF!</f>
        <v>#REF!</v>
      </c>
      <c r="G709" s="6" t="e">
        <f>#REF!+G714+#REF!</f>
        <v>#REF!</v>
      </c>
      <c r="H709" s="6" t="e">
        <f>#REF!+H714+#REF!</f>
        <v>#REF!</v>
      </c>
      <c r="I709" s="6" t="e">
        <f>#REF!+I714+#REF!</f>
        <v>#REF!</v>
      </c>
      <c r="J709" s="6">
        <f>J714</f>
        <v>10000</v>
      </c>
      <c r="K709" s="119">
        <f aca="true" t="shared" si="122" ref="K709:K772">(J709/$J$769)*100</f>
        <v>0.0375482158611154</v>
      </c>
      <c r="L709" s="6">
        <f>L714</f>
        <v>0</v>
      </c>
      <c r="M709" s="43" t="e">
        <f>#REF!+M714+#REF!</f>
        <v>#REF!</v>
      </c>
      <c r="N709" s="36">
        <f t="shared" si="120"/>
        <v>0</v>
      </c>
      <c r="O709" s="35">
        <f aca="true" t="shared" si="123" ref="O709:O772">L709/$L$769*100</f>
        <v>0</v>
      </c>
      <c r="P709" s="90"/>
    </row>
    <row r="710" spans="1:16" s="108" customFormat="1" ht="12.75">
      <c r="A710" s="145"/>
      <c r="B710" s="49"/>
      <c r="C710" s="4"/>
      <c r="D710" s="46" t="s">
        <v>291</v>
      </c>
      <c r="E710" s="25" t="e">
        <f>SUM(E707:E709)</f>
        <v>#REF!</v>
      </c>
      <c r="F710" s="25" t="e">
        <f>SUM(F707:F709)</f>
        <v>#REF!</v>
      </c>
      <c r="G710" s="25" t="e">
        <f>SUM(G707:G709)</f>
        <v>#REF!</v>
      </c>
      <c r="H710" s="25" t="e">
        <f>SUM(H707:H709)</f>
        <v>#REF!</v>
      </c>
      <c r="I710" s="39" t="e">
        <f>(H710/G710)*100</f>
        <v>#REF!</v>
      </c>
      <c r="J710" s="25">
        <f>SUM(J707:J709)</f>
        <v>756149</v>
      </c>
      <c r="K710" s="120">
        <f t="shared" si="122"/>
        <v>2.839204587516654</v>
      </c>
      <c r="L710" s="25">
        <f>SUM(L707:L709)</f>
        <v>752886</v>
      </c>
      <c r="M710" s="78" t="e">
        <f>SUM(M707:M709)</f>
        <v>#REF!</v>
      </c>
      <c r="N710" s="36"/>
      <c r="O710" s="35">
        <f t="shared" si="123"/>
        <v>3.0355449012412703</v>
      </c>
      <c r="P710" s="90"/>
    </row>
    <row r="711" spans="1:16" s="108" customFormat="1" ht="12.75">
      <c r="A711" s="145"/>
      <c r="B711" s="49"/>
      <c r="C711" s="4"/>
      <c r="D711" s="8" t="s">
        <v>253</v>
      </c>
      <c r="E711" s="6">
        <f>E713+E716+E718</f>
        <v>770574</v>
      </c>
      <c r="F711" s="6">
        <f>F713+F716+F718</f>
        <v>744810</v>
      </c>
      <c r="G711" s="6">
        <f>G713+G716+G718</f>
        <v>746149</v>
      </c>
      <c r="H711" s="6">
        <f>H713+H716+H718</f>
        <v>539308</v>
      </c>
      <c r="I711" s="39">
        <f>(H711/G711)*100</f>
        <v>72.27886119260363</v>
      </c>
      <c r="J711" s="6">
        <f>J713+J716+J718</f>
        <v>746149</v>
      </c>
      <c r="K711" s="119">
        <f t="shared" si="122"/>
        <v>2.8016563716555387</v>
      </c>
      <c r="L711" s="6">
        <f>L713+L716+L718</f>
        <v>752886</v>
      </c>
      <c r="M711" s="43">
        <f>M713+M716+M718</f>
        <v>20</v>
      </c>
      <c r="N711" s="36">
        <f>(L711/J711)*100</f>
        <v>100.90290277143038</v>
      </c>
      <c r="O711" s="35">
        <f t="shared" si="123"/>
        <v>3.0355449012412703</v>
      </c>
      <c r="P711" s="90"/>
    </row>
    <row r="712" spans="1:16" ht="24.75" customHeight="1">
      <c r="A712" s="145"/>
      <c r="B712" s="147" t="s">
        <v>69</v>
      </c>
      <c r="C712" s="3"/>
      <c r="D712" s="3" t="s">
        <v>70</v>
      </c>
      <c r="E712" s="5" t="e">
        <f>E713+#REF!+#REF!+#REF!+E714+#REF!</f>
        <v>#REF!</v>
      </c>
      <c r="F712" s="5" t="e">
        <f>F713+#REF!+#REF!+#REF!+F714+#REF!</f>
        <v>#REF!</v>
      </c>
      <c r="G712" s="5" t="e">
        <f>G713+#REF!+#REF!+#REF!+G714+#REF!</f>
        <v>#REF!</v>
      </c>
      <c r="H712" s="5" t="e">
        <f>H713+#REF!+#REF!+#REF!+H714+#REF!</f>
        <v>#REF!</v>
      </c>
      <c r="I712" s="5" t="e">
        <f>I713+#REF!+#REF!+#REF!+I714+#REF!</f>
        <v>#REF!</v>
      </c>
      <c r="J712" s="5">
        <f>J713+J714</f>
        <v>532149</v>
      </c>
      <c r="K712" s="120">
        <f t="shared" si="122"/>
        <v>1.9981245522276696</v>
      </c>
      <c r="L712" s="5">
        <f>L713+L714</f>
        <v>540886</v>
      </c>
      <c r="M712" s="45" t="e">
        <f>M713+#REF!+#REF!+#REF!+M714+#REF!</f>
        <v>#REF!</v>
      </c>
      <c r="N712" s="38">
        <f>(L712/J712)*100</f>
        <v>101.64183339628563</v>
      </c>
      <c r="O712" s="67">
        <f t="shared" si="123"/>
        <v>2.18078665223259</v>
      </c>
      <c r="P712" s="90"/>
    </row>
    <row r="713" spans="1:16" ht="22.5">
      <c r="A713" s="145"/>
      <c r="B713" s="150"/>
      <c r="C713" s="4" t="s">
        <v>207</v>
      </c>
      <c r="D713" s="4" t="s">
        <v>208</v>
      </c>
      <c r="E713" s="6">
        <v>554620</v>
      </c>
      <c r="F713" s="6">
        <v>520810</v>
      </c>
      <c r="G713" s="6">
        <v>522149</v>
      </c>
      <c r="H713" s="6">
        <v>364200</v>
      </c>
      <c r="I713" s="39">
        <f>(H713/G713)*100</f>
        <v>69.75020540114029</v>
      </c>
      <c r="J713" s="6">
        <v>522149</v>
      </c>
      <c r="K713" s="119">
        <f t="shared" si="122"/>
        <v>1.960576336366554</v>
      </c>
      <c r="L713" s="29">
        <v>540886</v>
      </c>
      <c r="M713" s="80">
        <v>20</v>
      </c>
      <c r="N713" s="36">
        <f>(L713/J713)*100</f>
        <v>103.58843931521461</v>
      </c>
      <c r="O713" s="35">
        <f t="shared" si="123"/>
        <v>2.18078665223259</v>
      </c>
      <c r="P713" s="90"/>
    </row>
    <row r="714" spans="1:16" ht="12.75">
      <c r="A714" s="145"/>
      <c r="B714" s="150"/>
      <c r="C714" s="24">
        <v>6220</v>
      </c>
      <c r="D714" s="24" t="s">
        <v>38</v>
      </c>
      <c r="E714" s="25">
        <v>52949.79</v>
      </c>
      <c r="F714" s="26"/>
      <c r="G714" s="25">
        <v>12085</v>
      </c>
      <c r="H714" s="25"/>
      <c r="I714" s="39">
        <f>(H714/G714)*100</f>
        <v>0</v>
      </c>
      <c r="J714" s="25">
        <v>10000</v>
      </c>
      <c r="K714" s="119">
        <f t="shared" si="122"/>
        <v>0.0375482158611154</v>
      </c>
      <c r="L714" s="25"/>
      <c r="M714" s="78"/>
      <c r="N714" s="36"/>
      <c r="O714" s="35">
        <f t="shared" si="123"/>
        <v>0</v>
      </c>
      <c r="P714" s="90"/>
    </row>
    <row r="715" spans="1:16" ht="12.75">
      <c r="A715" s="145"/>
      <c r="B715" s="147" t="s">
        <v>209</v>
      </c>
      <c r="C715" s="4"/>
      <c r="D715" s="3" t="s">
        <v>210</v>
      </c>
      <c r="E715" s="5" t="e">
        <f>E716+#REF!</f>
        <v>#REF!</v>
      </c>
      <c r="F715" s="5" t="e">
        <f>F716+#REF!</f>
        <v>#REF!</v>
      </c>
      <c r="G715" s="5" t="e">
        <f>G716+#REF!</f>
        <v>#REF!</v>
      </c>
      <c r="H715" s="5" t="e">
        <f>H716+#REF!</f>
        <v>#REF!</v>
      </c>
      <c r="I715" s="5" t="e">
        <f>I716+#REF!</f>
        <v>#REF!</v>
      </c>
      <c r="J715" s="5">
        <f>J716</f>
        <v>204000</v>
      </c>
      <c r="K715" s="120">
        <f t="shared" si="122"/>
        <v>0.765983603566754</v>
      </c>
      <c r="L715" s="5">
        <f>L716</f>
        <v>192000</v>
      </c>
      <c r="M715" s="45" t="e">
        <f>M716+#REF!</f>
        <v>#REF!</v>
      </c>
      <c r="N715" s="38">
        <f aca="true" t="shared" si="124" ref="N715:N720">(L715/J715)*100</f>
        <v>94.11764705882352</v>
      </c>
      <c r="O715" s="67">
        <f t="shared" si="123"/>
        <v>0.7741206783474841</v>
      </c>
      <c r="P715" s="90"/>
    </row>
    <row r="716" spans="1:16" ht="14.25" customHeight="1">
      <c r="A716" s="145"/>
      <c r="B716" s="150"/>
      <c r="C716" s="4" t="s">
        <v>207</v>
      </c>
      <c r="D716" s="4" t="s">
        <v>208</v>
      </c>
      <c r="E716" s="6">
        <v>200954</v>
      </c>
      <c r="F716" s="6">
        <v>204000</v>
      </c>
      <c r="G716" s="6">
        <v>204000</v>
      </c>
      <c r="H716" s="6">
        <v>155108</v>
      </c>
      <c r="I716" s="39">
        <f>(H716/G716)*100</f>
        <v>76.03333333333333</v>
      </c>
      <c r="J716" s="6">
        <v>204000</v>
      </c>
      <c r="K716" s="119">
        <f t="shared" si="122"/>
        <v>0.765983603566754</v>
      </c>
      <c r="L716" s="29">
        <v>192000</v>
      </c>
      <c r="M716" s="80"/>
      <c r="N716" s="36">
        <f t="shared" si="124"/>
        <v>94.11764705882352</v>
      </c>
      <c r="O716" s="35">
        <f t="shared" si="123"/>
        <v>0.7741206783474841</v>
      </c>
      <c r="P716" s="90"/>
    </row>
    <row r="717" spans="1:16" ht="12.75">
      <c r="A717" s="145"/>
      <c r="B717" s="147" t="s">
        <v>211</v>
      </c>
      <c r="C717" s="4"/>
      <c r="D717" s="3" t="s">
        <v>33</v>
      </c>
      <c r="E717" s="5">
        <f aca="true" t="shared" si="125" ref="E717:M717">E718</f>
        <v>15000</v>
      </c>
      <c r="F717" s="5">
        <f t="shared" si="125"/>
        <v>20000</v>
      </c>
      <c r="G717" s="5">
        <f t="shared" si="125"/>
        <v>20000</v>
      </c>
      <c r="H717" s="5">
        <f t="shared" si="125"/>
        <v>20000</v>
      </c>
      <c r="I717" s="5">
        <f t="shared" si="125"/>
        <v>100</v>
      </c>
      <c r="J717" s="5">
        <f t="shared" si="125"/>
        <v>20000</v>
      </c>
      <c r="K717" s="120">
        <f t="shared" si="122"/>
        <v>0.0750964317222308</v>
      </c>
      <c r="L717" s="5">
        <f t="shared" si="125"/>
        <v>20000</v>
      </c>
      <c r="M717" s="45">
        <f t="shared" si="125"/>
        <v>0</v>
      </c>
      <c r="N717" s="38">
        <f t="shared" si="124"/>
        <v>100</v>
      </c>
      <c r="O717" s="67">
        <f t="shared" si="123"/>
        <v>0.08063757066119627</v>
      </c>
      <c r="P717" s="90"/>
    </row>
    <row r="718" spans="1:16" ht="47.25" customHeight="1">
      <c r="A718" s="145"/>
      <c r="B718" s="157"/>
      <c r="C718" s="4">
        <v>2720</v>
      </c>
      <c r="D718" s="4" t="s">
        <v>212</v>
      </c>
      <c r="E718" s="6">
        <v>15000</v>
      </c>
      <c r="F718" s="6">
        <v>20000</v>
      </c>
      <c r="G718" s="6">
        <v>20000</v>
      </c>
      <c r="H718" s="6">
        <v>20000</v>
      </c>
      <c r="I718" s="39">
        <f>(H718/G718)*100</f>
        <v>100</v>
      </c>
      <c r="J718" s="6">
        <v>20000</v>
      </c>
      <c r="K718" s="119">
        <f t="shared" si="122"/>
        <v>0.0750964317222308</v>
      </c>
      <c r="L718" s="29">
        <v>20000</v>
      </c>
      <c r="M718" s="80"/>
      <c r="N718" s="36">
        <f t="shared" si="124"/>
        <v>100</v>
      </c>
      <c r="O718" s="35">
        <f t="shared" si="123"/>
        <v>0.08063757066119627</v>
      </c>
      <c r="P718" s="90"/>
    </row>
    <row r="719" spans="1:16" ht="12.75">
      <c r="A719" s="164">
        <v>926</v>
      </c>
      <c r="B719" s="3"/>
      <c r="C719" s="4"/>
      <c r="D719" s="3" t="s">
        <v>220</v>
      </c>
      <c r="E719" s="5" t="e">
        <f>E745+E750+E725</f>
        <v>#REF!</v>
      </c>
      <c r="F719" s="5" t="e">
        <f>F745+F750+F725</f>
        <v>#REF!</v>
      </c>
      <c r="G719" s="5" t="e">
        <f>G745+G750+G725</f>
        <v>#REF!</v>
      </c>
      <c r="H719" s="5" t="e">
        <f>H745+H750+H725</f>
        <v>#REF!</v>
      </c>
      <c r="I719" s="39" t="e">
        <f>(H719/G719)*100</f>
        <v>#REF!</v>
      </c>
      <c r="J719" s="5">
        <f>J745+J750+J725</f>
        <v>1084204.04</v>
      </c>
      <c r="K719" s="120">
        <f t="shared" si="122"/>
        <v>4.070992733141339</v>
      </c>
      <c r="L719" s="5">
        <f>L745+L750+L725</f>
        <v>1280712.99</v>
      </c>
      <c r="M719" s="45" t="e">
        <f>M745+M750+M725</f>
        <v>#REF!</v>
      </c>
      <c r="N719" s="38">
        <f t="shared" si="124"/>
        <v>118.12472032478314</v>
      </c>
      <c r="O719" s="67">
        <f t="shared" si="123"/>
        <v>5.163679211391847</v>
      </c>
      <c r="P719" s="90"/>
    </row>
    <row r="720" spans="1:16" ht="12.75">
      <c r="A720" s="145"/>
      <c r="B720" s="3"/>
      <c r="C720" s="4"/>
      <c r="D720" s="8" t="s">
        <v>232</v>
      </c>
      <c r="E720" s="6" t="e">
        <f>E719-E721</f>
        <v>#REF!</v>
      </c>
      <c r="F720" s="6" t="e">
        <f>F719-F721</f>
        <v>#REF!</v>
      </c>
      <c r="G720" s="6" t="e">
        <f>G719-G721</f>
        <v>#REF!</v>
      </c>
      <c r="H720" s="6" t="e">
        <f>H719-H721</f>
        <v>#REF!</v>
      </c>
      <c r="I720" s="39" t="e">
        <f>(H720/G720)*100</f>
        <v>#REF!</v>
      </c>
      <c r="J720" s="6">
        <f>J719-J721</f>
        <v>1084204.04</v>
      </c>
      <c r="K720" s="119">
        <f t="shared" si="122"/>
        <v>4.070992733141339</v>
      </c>
      <c r="L720" s="6">
        <f>L719-L721</f>
        <v>1214600</v>
      </c>
      <c r="M720" s="43" t="e">
        <f>M719-M721</f>
        <v>#REF!</v>
      </c>
      <c r="N720" s="36">
        <f t="shared" si="124"/>
        <v>112.0268837957844</v>
      </c>
      <c r="O720" s="35">
        <f t="shared" si="123"/>
        <v>4.897119666254449</v>
      </c>
      <c r="P720" s="90"/>
    </row>
    <row r="721" spans="1:16" ht="12.75">
      <c r="A721" s="145"/>
      <c r="B721" s="3"/>
      <c r="C721" s="4"/>
      <c r="D721" s="8" t="s">
        <v>231</v>
      </c>
      <c r="E721" s="6" t="e">
        <f>#REF!+#REF!+#REF!+E765+E767+#REF!+#REF!</f>
        <v>#REF!</v>
      </c>
      <c r="F721" s="6" t="e">
        <f>#REF!+#REF!+#REF!+F765+F767+#REF!+#REF!</f>
        <v>#REF!</v>
      </c>
      <c r="G721" s="6" t="e">
        <f>#REF!+#REF!+#REF!+G765+G767+#REF!+#REF!</f>
        <v>#REF!</v>
      </c>
      <c r="H721" s="6" t="e">
        <f>#REF!+#REF!+#REF!+H765+H767+#REF!+#REF!</f>
        <v>#REF!</v>
      </c>
      <c r="I721" s="6" t="e">
        <f>#REF!+#REF!+#REF!+I765+I767+#REF!+#REF!</f>
        <v>#REF!</v>
      </c>
      <c r="J721" s="6">
        <f>J765+J767</f>
        <v>0</v>
      </c>
      <c r="K721" s="119">
        <f t="shared" si="122"/>
        <v>0</v>
      </c>
      <c r="L721" s="6">
        <f>L765+L767</f>
        <v>66112.99</v>
      </c>
      <c r="M721" s="43" t="e">
        <f>#REF!+#REF!+#REF!+M765+M767+#REF!+#REF!</f>
        <v>#REF!</v>
      </c>
      <c r="N721" s="36"/>
      <c r="O721" s="35">
        <f t="shared" si="123"/>
        <v>0.2665595451373981</v>
      </c>
      <c r="P721" s="90"/>
    </row>
    <row r="722" spans="1:16" ht="12.75">
      <c r="A722" s="145"/>
      <c r="B722" s="3"/>
      <c r="C722" s="4"/>
      <c r="D722" s="8" t="s">
        <v>345</v>
      </c>
      <c r="E722" s="6" t="e">
        <f>#REF!+#REF!+E765+E767</f>
        <v>#REF!</v>
      </c>
      <c r="F722" s="6" t="e">
        <f>#REF!+#REF!+F765+F767</f>
        <v>#REF!</v>
      </c>
      <c r="G722" s="6" t="e">
        <f>#REF!+#REF!+G765+G767</f>
        <v>#REF!</v>
      </c>
      <c r="H722" s="6" t="e">
        <f>#REF!+#REF!+H765+H767</f>
        <v>#REF!</v>
      </c>
      <c r="I722" s="6" t="e">
        <f>#REF!+#REF!+I765+I767</f>
        <v>#REF!</v>
      </c>
      <c r="J722" s="6">
        <f>J765+J767</f>
        <v>0</v>
      </c>
      <c r="K722" s="119">
        <f t="shared" si="122"/>
        <v>0</v>
      </c>
      <c r="L722" s="6">
        <f>L765+L767</f>
        <v>66112.99</v>
      </c>
      <c r="M722" s="43"/>
      <c r="N722" s="36"/>
      <c r="O722" s="35">
        <f t="shared" si="123"/>
        <v>0.2665595451373981</v>
      </c>
      <c r="P722" s="90"/>
    </row>
    <row r="723" spans="1:16" ht="12.75">
      <c r="A723" s="145"/>
      <c r="B723" s="3"/>
      <c r="C723" s="4"/>
      <c r="D723" s="23" t="s">
        <v>292</v>
      </c>
      <c r="E723" s="26" t="e">
        <f>SUM(E720:E721)</f>
        <v>#REF!</v>
      </c>
      <c r="F723" s="26" t="e">
        <f>SUM(F720:F721)</f>
        <v>#REF!</v>
      </c>
      <c r="G723" s="26" t="e">
        <f>SUM(G720:G721)</f>
        <v>#REF!</v>
      </c>
      <c r="H723" s="26" t="e">
        <f>SUM(H720:H721)</f>
        <v>#REF!</v>
      </c>
      <c r="I723" s="39" t="e">
        <f>(H723/G723)*100</f>
        <v>#REF!</v>
      </c>
      <c r="J723" s="26">
        <f>SUM(J720:J721)</f>
        <v>1084204.04</v>
      </c>
      <c r="K723" s="119">
        <f t="shared" si="122"/>
        <v>4.070992733141339</v>
      </c>
      <c r="L723" s="26">
        <f>SUM(L720:L721)</f>
        <v>1280712.99</v>
      </c>
      <c r="M723" s="111" t="e">
        <f>SUM(M720:M721)</f>
        <v>#REF!</v>
      </c>
      <c r="N723" s="36">
        <f>(L723/J723)*100</f>
        <v>118.12472032478314</v>
      </c>
      <c r="O723" s="35">
        <f t="shared" si="123"/>
        <v>5.163679211391847</v>
      </c>
      <c r="P723" s="90"/>
    </row>
    <row r="724" spans="1:16" ht="12.75">
      <c r="A724" s="145"/>
      <c r="B724" s="3"/>
      <c r="C724" s="4"/>
      <c r="D724" s="8" t="s">
        <v>252</v>
      </c>
      <c r="E724" s="6">
        <f>E746</f>
        <v>43720</v>
      </c>
      <c r="F724" s="6">
        <f>F746</f>
        <v>45000</v>
      </c>
      <c r="G724" s="6">
        <f>G746</f>
        <v>43000</v>
      </c>
      <c r="H724" s="6">
        <f>H746</f>
        <v>43000</v>
      </c>
      <c r="I724" s="39">
        <f>(H724/G724)*100</f>
        <v>100</v>
      </c>
      <c r="J724" s="6">
        <f>J746</f>
        <v>43000</v>
      </c>
      <c r="K724" s="119">
        <f t="shared" si="122"/>
        <v>0.1614573282027962</v>
      </c>
      <c r="L724" s="6">
        <f>L746</f>
        <v>47000</v>
      </c>
      <c r="M724" s="43">
        <f>M746</f>
        <v>0</v>
      </c>
      <c r="N724" s="36">
        <f>(L724/J724)*100</f>
        <v>109.30232558139534</v>
      </c>
      <c r="O724" s="35">
        <f t="shared" si="123"/>
        <v>0.18949829105381122</v>
      </c>
      <c r="P724" s="90"/>
    </row>
    <row r="725" spans="1:16" ht="12.75">
      <c r="A725" s="145"/>
      <c r="B725" s="147">
        <v>92601</v>
      </c>
      <c r="C725" s="24"/>
      <c r="D725" s="3" t="s">
        <v>340</v>
      </c>
      <c r="E725" s="25" t="e">
        <f>E726+E727+E729+E730+E731+E732+E733+E734+E735+E736+E737+E738+E739+E740+E741+E742+E728+#REF!+#REF!+E744+E743+#REF!</f>
        <v>#REF!</v>
      </c>
      <c r="F725" s="25" t="e">
        <f>F726+F727+F729+F730+F731+F732+F733+F734+F735+F736+F737+F738+F739+F740+F741+F742+F728+#REF!+#REF!+F744+F743+#REF!</f>
        <v>#REF!</v>
      </c>
      <c r="G725" s="25" t="e">
        <f>G726+G727+G729+G730+G731+G732+G733+G734+G735+G736+G737+G738+G739+G740+G741+G742+G728+#REF!+#REF!+G744+G743+#REF!</f>
        <v>#REF!</v>
      </c>
      <c r="H725" s="25" t="e">
        <f>H726+H727+H729+H730+H731+H732+H733+H734+H735+H736+H737+H738+H739+H740+H741+H742+H728+#REF!+#REF!+H744+H743+#REF!</f>
        <v>#REF!</v>
      </c>
      <c r="I725" s="25" t="e">
        <f>I726+I727+I729+I730+I731+I732+I733+I734+I735+I736+I737+I738+I739+I740+I741+I742+I728+#REF!+#REF!+I744+I743+#REF!</f>
        <v>#REF!</v>
      </c>
      <c r="J725" s="25">
        <f>J726+J727+J729+J730+J731+J732+J733+J734+J735+J736+J737+J738+J739+J740+J741+J742+J728+J744+J743</f>
        <v>623705.0399999999</v>
      </c>
      <c r="K725" s="120">
        <f t="shared" si="122"/>
        <v>2.3419011475585605</v>
      </c>
      <c r="L725" s="25">
        <f>L726+L727+L729+L730+L731+L732+L733+L734+L735+L736+L737+L738+L739+L740+L741+L742+L728+L744+L743</f>
        <v>714865</v>
      </c>
      <c r="M725" s="78" t="e">
        <f>M726+M727+M729+M730+M731+M732+M733+M734+M735+M736+M737+M738+M739+M740+M741+M742+M728+#REF!+#REF!+M744+M743+#REF!</f>
        <v>#REF!</v>
      </c>
      <c r="N725" s="38">
        <f aca="true" t="shared" si="126" ref="N725:N744">(L725/J725)*100</f>
        <v>114.61587676123317</v>
      </c>
      <c r="O725" s="67">
        <f t="shared" si="123"/>
        <v>2.882248847535803</v>
      </c>
      <c r="P725" s="90"/>
    </row>
    <row r="726" spans="1:16" ht="12.75">
      <c r="A726" s="145"/>
      <c r="B726" s="150"/>
      <c r="C726" s="4">
        <v>3020</v>
      </c>
      <c r="D726" s="4" t="s">
        <v>157</v>
      </c>
      <c r="E726" s="6">
        <v>3005.77</v>
      </c>
      <c r="F726" s="6">
        <v>3480</v>
      </c>
      <c r="G726" s="6">
        <v>3480</v>
      </c>
      <c r="H726" s="6">
        <v>874.69</v>
      </c>
      <c r="I726" s="39">
        <f aca="true" t="shared" si="127" ref="I726:I732">(H726/G726)*100</f>
        <v>25.13477011494253</v>
      </c>
      <c r="J726" s="6">
        <v>3476.74</v>
      </c>
      <c r="K726" s="119">
        <f t="shared" si="122"/>
        <v>0.01305453840129743</v>
      </c>
      <c r="L726" s="6">
        <v>3480</v>
      </c>
      <c r="M726" s="60"/>
      <c r="N726" s="36">
        <f t="shared" si="126"/>
        <v>100.09376599918316</v>
      </c>
      <c r="O726" s="35">
        <f t="shared" si="123"/>
        <v>0.014030937295048151</v>
      </c>
      <c r="P726" s="90"/>
    </row>
    <row r="727" spans="1:16" ht="12.75">
      <c r="A727" s="145"/>
      <c r="B727" s="150"/>
      <c r="C727" s="4">
        <v>4010</v>
      </c>
      <c r="D727" s="4" t="s">
        <v>95</v>
      </c>
      <c r="E727" s="6">
        <v>244814.86</v>
      </c>
      <c r="F727" s="6">
        <v>256340</v>
      </c>
      <c r="G727" s="6">
        <v>258240</v>
      </c>
      <c r="H727" s="6">
        <v>166667.46</v>
      </c>
      <c r="I727" s="39">
        <f t="shared" si="127"/>
        <v>64.53975371747211</v>
      </c>
      <c r="J727" s="6">
        <v>256259.34</v>
      </c>
      <c r="K727" s="119">
        <f t="shared" si="122"/>
        <v>0.9622081014746962</v>
      </c>
      <c r="L727" s="6">
        <v>284300</v>
      </c>
      <c r="M727" s="60"/>
      <c r="N727" s="36">
        <f t="shared" si="126"/>
        <v>110.94229775195706</v>
      </c>
      <c r="O727" s="35">
        <f t="shared" si="123"/>
        <v>1.146263066948905</v>
      </c>
      <c r="P727" s="90"/>
    </row>
    <row r="728" spans="1:16" ht="12.75">
      <c r="A728" s="145"/>
      <c r="B728" s="150"/>
      <c r="C728" s="4">
        <v>4040</v>
      </c>
      <c r="D728" s="4" t="s">
        <v>97</v>
      </c>
      <c r="E728" s="6">
        <v>17893.72</v>
      </c>
      <c r="F728" s="6">
        <v>20900</v>
      </c>
      <c r="G728" s="6">
        <v>19000</v>
      </c>
      <c r="H728" s="6">
        <v>18906.63</v>
      </c>
      <c r="I728" s="39">
        <f t="shared" si="127"/>
        <v>99.50857894736843</v>
      </c>
      <c r="J728" s="6">
        <v>18906.63</v>
      </c>
      <c r="K728" s="119">
        <f t="shared" si="122"/>
        <v>0.07099102244462402</v>
      </c>
      <c r="L728" s="6">
        <v>20000</v>
      </c>
      <c r="M728" s="60"/>
      <c r="N728" s="36">
        <f t="shared" si="126"/>
        <v>105.78299781611</v>
      </c>
      <c r="O728" s="35">
        <f t="shared" si="123"/>
        <v>0.08063757066119627</v>
      </c>
      <c r="P728" s="90"/>
    </row>
    <row r="729" spans="1:16" ht="12.75">
      <c r="A729" s="145"/>
      <c r="B729" s="150"/>
      <c r="C729" s="4">
        <v>4110</v>
      </c>
      <c r="D729" s="4" t="s">
        <v>84</v>
      </c>
      <c r="E729" s="6">
        <v>41172.25</v>
      </c>
      <c r="F729" s="6">
        <v>42950</v>
      </c>
      <c r="G729" s="6">
        <v>42950</v>
      </c>
      <c r="H729" s="6">
        <v>31253.75</v>
      </c>
      <c r="I729" s="39">
        <f t="shared" si="127"/>
        <v>72.76775320139699</v>
      </c>
      <c r="J729" s="6">
        <v>41325</v>
      </c>
      <c r="K729" s="119">
        <f t="shared" si="122"/>
        <v>0.15516800204605938</v>
      </c>
      <c r="L729" s="6">
        <v>52200</v>
      </c>
      <c r="M729" s="60"/>
      <c r="N729" s="36">
        <f t="shared" si="126"/>
        <v>126.3157894736842</v>
      </c>
      <c r="O729" s="35">
        <f t="shared" si="123"/>
        <v>0.21046405942572224</v>
      </c>
      <c r="P729" s="90"/>
    </row>
    <row r="730" spans="1:16" ht="12.75">
      <c r="A730" s="145"/>
      <c r="B730" s="150"/>
      <c r="C730" s="4">
        <v>4120</v>
      </c>
      <c r="D730" s="4" t="s">
        <v>106</v>
      </c>
      <c r="E730" s="6">
        <v>6415.18</v>
      </c>
      <c r="F730" s="6">
        <v>6690</v>
      </c>
      <c r="G730" s="6">
        <v>6690</v>
      </c>
      <c r="H730" s="6">
        <v>4390.96</v>
      </c>
      <c r="I730" s="39">
        <f t="shared" si="127"/>
        <v>65.63467862481316</v>
      </c>
      <c r="J730" s="6">
        <v>6436</v>
      </c>
      <c r="K730" s="119">
        <f t="shared" si="122"/>
        <v>0.02416603172821387</v>
      </c>
      <c r="L730" s="6">
        <v>7500</v>
      </c>
      <c r="M730" s="60"/>
      <c r="N730" s="36">
        <f t="shared" si="126"/>
        <v>116.53200745804848</v>
      </c>
      <c r="O730" s="35">
        <f t="shared" si="123"/>
        <v>0.030239088997948596</v>
      </c>
      <c r="P730" s="90"/>
    </row>
    <row r="731" spans="1:16" ht="12.75">
      <c r="A731" s="145"/>
      <c r="B731" s="150"/>
      <c r="C731" s="4">
        <v>4170</v>
      </c>
      <c r="D731" s="4" t="s">
        <v>86</v>
      </c>
      <c r="E731" s="6">
        <v>19235.73</v>
      </c>
      <c r="F731" s="6">
        <v>29900</v>
      </c>
      <c r="G731" s="6">
        <v>29900</v>
      </c>
      <c r="H731" s="6">
        <v>18158</v>
      </c>
      <c r="I731" s="39">
        <f t="shared" si="127"/>
        <v>60.72909698996656</v>
      </c>
      <c r="J731" s="6">
        <v>25880</v>
      </c>
      <c r="K731" s="119">
        <f t="shared" si="122"/>
        <v>0.09717478264856663</v>
      </c>
      <c r="L731" s="6">
        <v>28900</v>
      </c>
      <c r="M731" s="60"/>
      <c r="N731" s="36">
        <f t="shared" si="126"/>
        <v>111.66924265842349</v>
      </c>
      <c r="O731" s="35">
        <f t="shared" si="123"/>
        <v>0.1165212896054286</v>
      </c>
      <c r="P731" s="90"/>
    </row>
    <row r="732" spans="1:16" ht="12.75">
      <c r="A732" s="145"/>
      <c r="B732" s="150"/>
      <c r="C732" s="4">
        <v>4210</v>
      </c>
      <c r="D732" s="4" t="s">
        <v>74</v>
      </c>
      <c r="E732" s="6">
        <v>156838.21</v>
      </c>
      <c r="F732" s="6">
        <v>158300</v>
      </c>
      <c r="G732" s="6">
        <v>158300</v>
      </c>
      <c r="H732" s="6">
        <v>72830.95</v>
      </c>
      <c r="I732" s="39">
        <f t="shared" si="127"/>
        <v>46.00818066961465</v>
      </c>
      <c r="J732" s="6">
        <v>151348.69</v>
      </c>
      <c r="K732" s="119">
        <f t="shared" si="122"/>
        <v>0.5682873282417037</v>
      </c>
      <c r="L732" s="6">
        <v>178500</v>
      </c>
      <c r="M732" s="60"/>
      <c r="N732" s="36">
        <f t="shared" si="126"/>
        <v>117.93957384104216</v>
      </c>
      <c r="O732" s="35">
        <f t="shared" si="123"/>
        <v>0.7196903181511767</v>
      </c>
      <c r="P732" s="90"/>
    </row>
    <row r="733" spans="1:16" ht="12.75">
      <c r="A733" s="145"/>
      <c r="B733" s="150"/>
      <c r="C733" s="4">
        <v>4260</v>
      </c>
      <c r="D733" s="4" t="s">
        <v>75</v>
      </c>
      <c r="E733" s="6">
        <v>68808.25</v>
      </c>
      <c r="F733" s="6">
        <v>77000</v>
      </c>
      <c r="G733" s="6">
        <v>77000</v>
      </c>
      <c r="H733" s="6">
        <v>42165.55</v>
      </c>
      <c r="I733" s="39">
        <f aca="true" t="shared" si="128" ref="I733:I744">(H733/G733)*100</f>
        <v>54.76045454545455</v>
      </c>
      <c r="J733" s="6">
        <v>70165.4</v>
      </c>
      <c r="K733" s="119">
        <f t="shared" si="122"/>
        <v>0.2634585585181506</v>
      </c>
      <c r="L733" s="6">
        <v>77585</v>
      </c>
      <c r="M733" s="60">
        <v>10</v>
      </c>
      <c r="N733" s="36">
        <f t="shared" si="126"/>
        <v>110.57444267402452</v>
      </c>
      <c r="O733" s="35">
        <f t="shared" si="123"/>
        <v>0.3128132959874456</v>
      </c>
      <c r="P733" s="90"/>
    </row>
    <row r="734" spans="1:16" ht="12.75">
      <c r="A734" s="145"/>
      <c r="B734" s="150"/>
      <c r="C734" s="4">
        <v>4270</v>
      </c>
      <c r="D734" s="4" t="s">
        <v>77</v>
      </c>
      <c r="E734" s="6">
        <v>1459.11</v>
      </c>
      <c r="F734" s="6">
        <v>5000</v>
      </c>
      <c r="G734" s="6">
        <v>5000</v>
      </c>
      <c r="H734" s="6">
        <v>1518.38</v>
      </c>
      <c r="I734" s="39">
        <f t="shared" si="128"/>
        <v>30.3676</v>
      </c>
      <c r="J734" s="6">
        <v>1518.38</v>
      </c>
      <c r="K734" s="119">
        <f t="shared" si="122"/>
        <v>0.00570124599992004</v>
      </c>
      <c r="L734" s="6">
        <v>5000</v>
      </c>
      <c r="M734" s="60"/>
      <c r="N734" s="36">
        <f t="shared" si="126"/>
        <v>329.29833111605785</v>
      </c>
      <c r="O734" s="35">
        <f t="shared" si="123"/>
        <v>0.020159392665299068</v>
      </c>
      <c r="P734" s="90"/>
    </row>
    <row r="735" spans="1:16" ht="12.75">
      <c r="A735" s="145"/>
      <c r="B735" s="150"/>
      <c r="C735" s="4">
        <v>4280</v>
      </c>
      <c r="D735" s="4" t="s">
        <v>91</v>
      </c>
      <c r="E735" s="6">
        <v>340</v>
      </c>
      <c r="F735" s="6">
        <v>480</v>
      </c>
      <c r="G735" s="6">
        <v>480</v>
      </c>
      <c r="H735" s="6">
        <v>395</v>
      </c>
      <c r="I735" s="39">
        <f t="shared" si="128"/>
        <v>82.29166666666666</v>
      </c>
      <c r="J735" s="6">
        <v>395</v>
      </c>
      <c r="K735" s="119">
        <f t="shared" si="122"/>
        <v>0.001483154526514058</v>
      </c>
      <c r="L735" s="6">
        <v>600</v>
      </c>
      <c r="M735" s="60"/>
      <c r="N735" s="36">
        <f t="shared" si="126"/>
        <v>151.8987341772152</v>
      </c>
      <c r="O735" s="35">
        <f t="shared" si="123"/>
        <v>0.002419127119835888</v>
      </c>
      <c r="P735" s="90"/>
    </row>
    <row r="736" spans="1:16" ht="12.75">
      <c r="A736" s="145"/>
      <c r="B736" s="150"/>
      <c r="C736" s="4">
        <v>4300</v>
      </c>
      <c r="D736" s="4" t="s">
        <v>87</v>
      </c>
      <c r="E736" s="6">
        <v>29442.12</v>
      </c>
      <c r="F736" s="6">
        <v>26800</v>
      </c>
      <c r="G736" s="6">
        <v>27540</v>
      </c>
      <c r="H736" s="6">
        <v>16707.26</v>
      </c>
      <c r="I736" s="39">
        <f t="shared" si="128"/>
        <v>60.66543209876543</v>
      </c>
      <c r="J736" s="6">
        <v>26660.66</v>
      </c>
      <c r="K736" s="119">
        <f t="shared" si="122"/>
        <v>0.10010602166798048</v>
      </c>
      <c r="L736" s="6">
        <v>27900</v>
      </c>
      <c r="M736" s="60"/>
      <c r="N736" s="36">
        <f t="shared" si="126"/>
        <v>104.64857209086347</v>
      </c>
      <c r="O736" s="35">
        <f t="shared" si="123"/>
        <v>0.11248941107236878</v>
      </c>
      <c r="P736" s="90"/>
    </row>
    <row r="737" spans="1:16" ht="12.75">
      <c r="A737" s="145"/>
      <c r="B737" s="150"/>
      <c r="C737" s="4">
        <v>4350</v>
      </c>
      <c r="D737" s="4" t="s">
        <v>249</v>
      </c>
      <c r="E737" s="6">
        <v>588</v>
      </c>
      <c r="F737" s="6">
        <v>600</v>
      </c>
      <c r="G737" s="6">
        <v>600</v>
      </c>
      <c r="H737" s="6">
        <v>441</v>
      </c>
      <c r="I737" s="39">
        <f t="shared" si="128"/>
        <v>73.5</v>
      </c>
      <c r="J737" s="6">
        <v>588</v>
      </c>
      <c r="K737" s="119">
        <f t="shared" si="122"/>
        <v>0.002207835092633585</v>
      </c>
      <c r="L737" s="6">
        <v>600</v>
      </c>
      <c r="M737" s="60"/>
      <c r="N737" s="36">
        <f t="shared" si="126"/>
        <v>102.04081632653062</v>
      </c>
      <c r="O737" s="35">
        <f t="shared" si="123"/>
        <v>0.002419127119835888</v>
      </c>
      <c r="P737" s="90"/>
    </row>
    <row r="738" spans="1:16" ht="24" customHeight="1">
      <c r="A738" s="145"/>
      <c r="B738" s="150"/>
      <c r="C738" s="4">
        <v>4360</v>
      </c>
      <c r="D738" s="4" t="s">
        <v>165</v>
      </c>
      <c r="E738" s="6">
        <v>1218.01</v>
      </c>
      <c r="F738" s="6">
        <v>1250</v>
      </c>
      <c r="G738" s="6">
        <v>1250</v>
      </c>
      <c r="H738" s="6">
        <v>828.07</v>
      </c>
      <c r="I738" s="39">
        <f t="shared" si="128"/>
        <v>66.24560000000001</v>
      </c>
      <c r="J738" s="6">
        <v>1150</v>
      </c>
      <c r="K738" s="119">
        <f t="shared" si="122"/>
        <v>0.00431804482402827</v>
      </c>
      <c r="L738" s="6">
        <v>2000</v>
      </c>
      <c r="M738" s="60"/>
      <c r="N738" s="36">
        <f t="shared" si="126"/>
        <v>173.91304347826087</v>
      </c>
      <c r="O738" s="35">
        <f t="shared" si="123"/>
        <v>0.008063757066119625</v>
      </c>
      <c r="P738" s="90"/>
    </row>
    <row r="739" spans="1:16" ht="22.5">
      <c r="A739" s="145"/>
      <c r="B739" s="150"/>
      <c r="C739" s="4">
        <v>4370</v>
      </c>
      <c r="D739" s="4" t="s">
        <v>150</v>
      </c>
      <c r="E739" s="6">
        <v>1260.64</v>
      </c>
      <c r="F739" s="6">
        <v>1500</v>
      </c>
      <c r="G739" s="6">
        <v>1500</v>
      </c>
      <c r="H739" s="6">
        <v>949.65</v>
      </c>
      <c r="I739" s="39">
        <f t="shared" si="128"/>
        <v>63.31</v>
      </c>
      <c r="J739" s="6">
        <v>1300</v>
      </c>
      <c r="K739" s="119">
        <f t="shared" si="122"/>
        <v>0.004881268061945001</v>
      </c>
      <c r="L739" s="6">
        <v>1500</v>
      </c>
      <c r="M739" s="60"/>
      <c r="N739" s="36">
        <f>(L739/J739)*100</f>
        <v>115.38461538461537</v>
      </c>
      <c r="O739" s="35">
        <f t="shared" si="123"/>
        <v>0.0060478177995897196</v>
      </c>
      <c r="P739" s="90"/>
    </row>
    <row r="740" spans="1:16" ht="12.75">
      <c r="A740" s="145"/>
      <c r="B740" s="150"/>
      <c r="C740" s="4">
        <v>4410</v>
      </c>
      <c r="D740" s="4" t="s">
        <v>163</v>
      </c>
      <c r="E740" s="6">
        <v>1988.76</v>
      </c>
      <c r="F740" s="6">
        <v>2500</v>
      </c>
      <c r="G740" s="6">
        <v>4000</v>
      </c>
      <c r="H740" s="6">
        <v>3039.08</v>
      </c>
      <c r="I740" s="39">
        <f t="shared" si="128"/>
        <v>75.97699999999999</v>
      </c>
      <c r="J740" s="6">
        <v>4000</v>
      </c>
      <c r="K740" s="119">
        <f t="shared" si="122"/>
        <v>0.015019286344446157</v>
      </c>
      <c r="L740" s="6">
        <v>4000</v>
      </c>
      <c r="M740" s="60"/>
      <c r="N740" s="36">
        <f t="shared" si="126"/>
        <v>100</v>
      </c>
      <c r="O740" s="35">
        <f t="shared" si="123"/>
        <v>0.01612751413223925</v>
      </c>
      <c r="P740" s="90"/>
    </row>
    <row r="741" spans="1:16" ht="12.75">
      <c r="A741" s="145"/>
      <c r="B741" s="150"/>
      <c r="C741" s="4">
        <v>4430</v>
      </c>
      <c r="D741" s="4" t="s">
        <v>88</v>
      </c>
      <c r="E741" s="6">
        <v>4323</v>
      </c>
      <c r="F741" s="6">
        <v>6600</v>
      </c>
      <c r="G741" s="6">
        <v>6000</v>
      </c>
      <c r="H741" s="6">
        <v>2805.33</v>
      </c>
      <c r="I741" s="39">
        <f t="shared" si="128"/>
        <v>46.7555</v>
      </c>
      <c r="J741" s="6">
        <v>3461.33</v>
      </c>
      <c r="K741" s="119">
        <f t="shared" si="122"/>
        <v>0.012996676600655455</v>
      </c>
      <c r="L741" s="6">
        <v>6600</v>
      </c>
      <c r="M741" s="60"/>
      <c r="N741" s="36">
        <f t="shared" si="126"/>
        <v>190.67814972857255</v>
      </c>
      <c r="O741" s="35">
        <f t="shared" si="123"/>
        <v>0.026610398318194766</v>
      </c>
      <c r="P741" s="90"/>
    </row>
    <row r="742" spans="1:16" ht="12.75">
      <c r="A742" s="145"/>
      <c r="B742" s="150"/>
      <c r="C742" s="4">
        <v>4440</v>
      </c>
      <c r="D742" s="4" t="s">
        <v>161</v>
      </c>
      <c r="E742" s="6">
        <v>9952</v>
      </c>
      <c r="F742" s="6">
        <v>11845</v>
      </c>
      <c r="G742" s="6">
        <v>10645</v>
      </c>
      <c r="H742" s="6">
        <v>6834.33</v>
      </c>
      <c r="I742" s="39">
        <f t="shared" si="128"/>
        <v>64.20225457961483</v>
      </c>
      <c r="J742" s="6">
        <v>8313.87</v>
      </c>
      <c r="K742" s="119">
        <f t="shared" si="122"/>
        <v>0.031217098540125145</v>
      </c>
      <c r="L742" s="6">
        <v>11300</v>
      </c>
      <c r="M742" s="60"/>
      <c r="N742" s="36">
        <f t="shared" si="126"/>
        <v>135.91744879340186</v>
      </c>
      <c r="O742" s="35">
        <f t="shared" si="123"/>
        <v>0.045560227423575884</v>
      </c>
      <c r="P742" s="90"/>
    </row>
    <row r="743" spans="1:16" ht="12.75">
      <c r="A743" s="145"/>
      <c r="B743" s="150"/>
      <c r="C743" s="4">
        <v>4480</v>
      </c>
      <c r="D743" s="4" t="s">
        <v>308</v>
      </c>
      <c r="E743" s="6">
        <v>2223</v>
      </c>
      <c r="F743" s="6">
        <v>2500</v>
      </c>
      <c r="G743" s="6">
        <v>2500</v>
      </c>
      <c r="H743" s="6">
        <v>2340</v>
      </c>
      <c r="I743" s="39">
        <f t="shared" si="128"/>
        <v>93.60000000000001</v>
      </c>
      <c r="J743" s="6">
        <v>2340</v>
      </c>
      <c r="K743" s="119">
        <f t="shared" si="122"/>
        <v>0.008786282511501</v>
      </c>
      <c r="L743" s="6">
        <v>2500</v>
      </c>
      <c r="M743" s="60"/>
      <c r="N743" s="36">
        <f t="shared" si="126"/>
        <v>106.83760683760684</v>
      </c>
      <c r="O743" s="35">
        <f t="shared" si="123"/>
        <v>0.010079696332649534</v>
      </c>
      <c r="P743" s="90"/>
    </row>
    <row r="744" spans="1:16" ht="22.5">
      <c r="A744" s="145"/>
      <c r="B744" s="150"/>
      <c r="C744" s="4">
        <v>4700</v>
      </c>
      <c r="D744" s="4" t="s">
        <v>140</v>
      </c>
      <c r="E744" s="6">
        <v>150</v>
      </c>
      <c r="F744" s="6">
        <v>300</v>
      </c>
      <c r="G744" s="6">
        <v>300</v>
      </c>
      <c r="H744" s="6"/>
      <c r="I744" s="39">
        <f t="shared" si="128"/>
        <v>0</v>
      </c>
      <c r="J744" s="6">
        <v>180</v>
      </c>
      <c r="K744" s="119">
        <f t="shared" si="122"/>
        <v>0.0006758678855000772</v>
      </c>
      <c r="L744" s="6">
        <v>400</v>
      </c>
      <c r="M744" s="60"/>
      <c r="N744" s="36">
        <f t="shared" si="126"/>
        <v>222.22222222222223</v>
      </c>
      <c r="O744" s="35">
        <f t="shared" si="123"/>
        <v>0.001612751413223925</v>
      </c>
      <c r="P744" s="90"/>
    </row>
    <row r="745" spans="1:16" ht="12.75">
      <c r="A745" s="145"/>
      <c r="B745" s="147" t="s">
        <v>71</v>
      </c>
      <c r="C745" s="4"/>
      <c r="D745" s="3" t="s">
        <v>72</v>
      </c>
      <c r="E745" s="5" t="e">
        <f>E746+#REF!+E747+E748+E749</f>
        <v>#REF!</v>
      </c>
      <c r="F745" s="5" t="e">
        <f>F746+#REF!+F747+F748+F749</f>
        <v>#REF!</v>
      </c>
      <c r="G745" s="5" t="e">
        <f>G746+#REF!+G747+G748+G749</f>
        <v>#REF!</v>
      </c>
      <c r="H745" s="5" t="e">
        <f>H746+#REF!+H747+H748+H749</f>
        <v>#REF!</v>
      </c>
      <c r="I745" s="39" t="e">
        <f>(H745/G745)*100</f>
        <v>#REF!</v>
      </c>
      <c r="J745" s="5">
        <f>J746+J747+J748+J749</f>
        <v>49433.69</v>
      </c>
      <c r="K745" s="120">
        <f t="shared" si="122"/>
        <v>0.18561468629314615</v>
      </c>
      <c r="L745" s="5">
        <f>L746+L747+L748+L749</f>
        <v>58000</v>
      </c>
      <c r="M745" s="45" t="e">
        <f>M746+#REF!+M747+M748+M749</f>
        <v>#REF!</v>
      </c>
      <c r="N745" s="38">
        <f>(L745/J745)*100</f>
        <v>117.32889047934718</v>
      </c>
      <c r="O745" s="67">
        <f t="shared" si="123"/>
        <v>0.23384895491746915</v>
      </c>
      <c r="P745" s="90"/>
    </row>
    <row r="746" spans="1:16" ht="45">
      <c r="A746" s="145"/>
      <c r="B746" s="157"/>
      <c r="C746" s="4" t="s">
        <v>213</v>
      </c>
      <c r="D746" s="4" t="s">
        <v>214</v>
      </c>
      <c r="E746" s="6">
        <v>43720</v>
      </c>
      <c r="F746" s="6">
        <v>45000</v>
      </c>
      <c r="G746" s="6">
        <v>43000</v>
      </c>
      <c r="H746" s="6">
        <v>43000</v>
      </c>
      <c r="I746" s="39">
        <f>(H746/G746)*100</f>
        <v>100</v>
      </c>
      <c r="J746" s="6">
        <v>43000</v>
      </c>
      <c r="K746" s="119">
        <f t="shared" si="122"/>
        <v>0.1614573282027962</v>
      </c>
      <c r="L746" s="29">
        <v>47000</v>
      </c>
      <c r="M746" s="80"/>
      <c r="N746" s="36">
        <f>(L746/J746)*100</f>
        <v>109.30232558139534</v>
      </c>
      <c r="O746" s="35">
        <f t="shared" si="123"/>
        <v>0.18949829105381122</v>
      </c>
      <c r="P746" s="90"/>
    </row>
    <row r="747" spans="1:16" ht="16.5" customHeight="1">
      <c r="A747" s="145"/>
      <c r="B747" s="157"/>
      <c r="C747" s="4">
        <v>4210</v>
      </c>
      <c r="D747" s="4" t="s">
        <v>74</v>
      </c>
      <c r="E747" s="6">
        <v>1999.92</v>
      </c>
      <c r="F747" s="6">
        <v>2000</v>
      </c>
      <c r="G747" s="6">
        <v>2000</v>
      </c>
      <c r="H747" s="6">
        <v>933.69</v>
      </c>
      <c r="I747" s="39">
        <f>(H747/G747)*100</f>
        <v>46.6845</v>
      </c>
      <c r="J747" s="6">
        <v>933.69</v>
      </c>
      <c r="K747" s="119">
        <f t="shared" si="122"/>
        <v>0.0035058393667364834</v>
      </c>
      <c r="L747" s="29">
        <v>2000</v>
      </c>
      <c r="M747" s="80"/>
      <c r="N747" s="36">
        <f>(L747/J747)*100</f>
        <v>214.2038578114792</v>
      </c>
      <c r="O747" s="35">
        <f t="shared" si="123"/>
        <v>0.008063757066119625</v>
      </c>
      <c r="P747" s="90"/>
    </row>
    <row r="748" spans="1:16" ht="16.5" customHeight="1">
      <c r="A748" s="145"/>
      <c r="B748" s="157"/>
      <c r="C748" s="4">
        <v>4300</v>
      </c>
      <c r="D748" s="4" t="s">
        <v>87</v>
      </c>
      <c r="E748" s="6">
        <v>5768.6</v>
      </c>
      <c r="F748" s="6">
        <v>8500</v>
      </c>
      <c r="G748" s="6">
        <v>8500</v>
      </c>
      <c r="H748" s="6">
        <v>2187.8</v>
      </c>
      <c r="I748" s="39">
        <f>(H748/G748)*100</f>
        <v>25.738823529411768</v>
      </c>
      <c r="J748" s="6">
        <v>5000</v>
      </c>
      <c r="K748" s="119">
        <f t="shared" si="122"/>
        <v>0.0187741079305577</v>
      </c>
      <c r="L748" s="29">
        <v>8000</v>
      </c>
      <c r="M748" s="80"/>
      <c r="N748" s="36">
        <f>(L748/J748)*100</f>
        <v>160</v>
      </c>
      <c r="O748" s="35">
        <f t="shared" si="123"/>
        <v>0.0322550282644785</v>
      </c>
      <c r="P748" s="90"/>
    </row>
    <row r="749" spans="1:16" ht="16.5" customHeight="1">
      <c r="A749" s="145"/>
      <c r="B749" s="157"/>
      <c r="C749" s="4">
        <v>4410</v>
      </c>
      <c r="D749" s="4" t="s">
        <v>163</v>
      </c>
      <c r="E749" s="6">
        <v>463.04</v>
      </c>
      <c r="F749" s="6">
        <v>1000</v>
      </c>
      <c r="G749" s="6">
        <v>1000</v>
      </c>
      <c r="H749" s="6">
        <v>234.02</v>
      </c>
      <c r="I749" s="39">
        <f>(H749/G749)*100</f>
        <v>23.402</v>
      </c>
      <c r="J749" s="6">
        <v>500</v>
      </c>
      <c r="K749" s="119">
        <f t="shared" si="122"/>
        <v>0.0018774107930557696</v>
      </c>
      <c r="L749" s="29">
        <v>1000</v>
      </c>
      <c r="M749" s="80"/>
      <c r="N749" s="36">
        <f>(L749/J749)*100</f>
        <v>200</v>
      </c>
      <c r="O749" s="35">
        <f t="shared" si="123"/>
        <v>0.0040318785330598125</v>
      </c>
      <c r="P749" s="90"/>
    </row>
    <row r="750" spans="1:16" ht="12.75">
      <c r="A750" s="145"/>
      <c r="B750" s="147" t="s">
        <v>215</v>
      </c>
      <c r="C750" s="4"/>
      <c r="D750" s="3" t="s">
        <v>10</v>
      </c>
      <c r="E750" s="5" t="e">
        <f>E751+E752+E753+E754+E755+E757+E759+E761+E762+E763+E760+E767+E765+E756+E758+E764+#REF!</f>
        <v>#REF!</v>
      </c>
      <c r="F750" s="5" t="e">
        <f>F751+F752+F753+F754+F755+F757+F759+F761+F762+F763+F760+F767+F765+F756+F758+F764+#REF!</f>
        <v>#REF!</v>
      </c>
      <c r="G750" s="5" t="e">
        <f>G751+G752+G753+G754+G755+G757+G759+G761+G762+G763+G760+G767+G765+G756+G758+G764+#REF!</f>
        <v>#REF!</v>
      </c>
      <c r="H750" s="5" t="e">
        <f>H751+H752+H753+H754+H755+H757+H759+H761+H762+H763+H760+H767+H765+H756+H758+H764+#REF!</f>
        <v>#REF!</v>
      </c>
      <c r="I750" s="5" t="e">
        <f>I751+I752+I753+I754+I755+I757+I759+I761+I762+I763+I760+I767+I765+I756+I758+I764+#REF!</f>
        <v>#REF!</v>
      </c>
      <c r="J750" s="5">
        <f>J751+J752+J753+J754+J755+J757+J759+J761+J762+J763+J760+J767+J765+J756+J758+J764</f>
        <v>411065.31000000006</v>
      </c>
      <c r="K750" s="120">
        <f t="shared" si="122"/>
        <v>1.5434768992896317</v>
      </c>
      <c r="L750" s="5">
        <f>L751+L752+L753+L754+L755+L757+L759+L761+L762+L763+L760+L767+L765+L756+L758+L764</f>
        <v>507847.99</v>
      </c>
      <c r="M750" s="45" t="e">
        <f>M751+M752+M753+M754+M755+M757+M759+M761+M762+M763+M760+M767+M765+M756+M758+M764+#REF!</f>
        <v>#REF!</v>
      </c>
      <c r="N750" s="38">
        <f aca="true" t="shared" si="129" ref="N750:N764">(L750/J750)*100</f>
        <v>123.54435600513212</v>
      </c>
      <c r="O750" s="67">
        <f t="shared" si="123"/>
        <v>2.0475814089385747</v>
      </c>
      <c r="P750" s="90"/>
    </row>
    <row r="751" spans="1:16" ht="12.75">
      <c r="A751" s="145"/>
      <c r="B751" s="157"/>
      <c r="C751" s="4" t="s">
        <v>92</v>
      </c>
      <c r="D751" s="4" t="s">
        <v>194</v>
      </c>
      <c r="E751" s="6">
        <v>1396.92</v>
      </c>
      <c r="F751" s="6">
        <v>2794</v>
      </c>
      <c r="G751" s="6">
        <v>2794</v>
      </c>
      <c r="H751" s="6">
        <v>726.7</v>
      </c>
      <c r="I751" s="39">
        <f aca="true" t="shared" si="130" ref="I751:I778">(H751/G751)*100</f>
        <v>26.009305654974945</v>
      </c>
      <c r="J751" s="6">
        <v>2794</v>
      </c>
      <c r="K751" s="119">
        <f t="shared" si="122"/>
        <v>0.01049097151159564</v>
      </c>
      <c r="L751" s="29">
        <v>2925</v>
      </c>
      <c r="M751" s="80"/>
      <c r="N751" s="36">
        <f t="shared" si="129"/>
        <v>104.68861846814603</v>
      </c>
      <c r="O751" s="35">
        <f t="shared" si="123"/>
        <v>0.011793244709199952</v>
      </c>
      <c r="P751" s="90"/>
    </row>
    <row r="752" spans="1:16" ht="12.75">
      <c r="A752" s="145"/>
      <c r="B752" s="157"/>
      <c r="C752" s="4" t="s">
        <v>94</v>
      </c>
      <c r="D752" s="4" t="s">
        <v>188</v>
      </c>
      <c r="E752" s="6">
        <v>100998.4</v>
      </c>
      <c r="F752" s="6">
        <v>124098</v>
      </c>
      <c r="G752" s="6">
        <v>152698</v>
      </c>
      <c r="H752" s="6">
        <v>107336.94</v>
      </c>
      <c r="I752" s="39">
        <f t="shared" si="130"/>
        <v>70.293612228058</v>
      </c>
      <c r="J752" s="6">
        <v>152999.98</v>
      </c>
      <c r="K752" s="119">
        <f t="shared" si="122"/>
        <v>0.5744876275786338</v>
      </c>
      <c r="L752" s="29">
        <v>181050</v>
      </c>
      <c r="M752" s="80"/>
      <c r="N752" s="36">
        <f t="shared" si="129"/>
        <v>118.33334880174493</v>
      </c>
      <c r="O752" s="35">
        <f t="shared" si="123"/>
        <v>0.7299716084104791</v>
      </c>
      <c r="P752" s="90"/>
    </row>
    <row r="753" spans="1:16" ht="12.75">
      <c r="A753" s="145"/>
      <c r="B753" s="157"/>
      <c r="C753" s="4" t="s">
        <v>96</v>
      </c>
      <c r="D753" s="4" t="s">
        <v>97</v>
      </c>
      <c r="E753" s="6">
        <v>6862.01</v>
      </c>
      <c r="F753" s="6">
        <v>9450</v>
      </c>
      <c r="G753" s="6">
        <v>6000</v>
      </c>
      <c r="H753" s="6">
        <v>5986.54</v>
      </c>
      <c r="I753" s="39">
        <f t="shared" si="130"/>
        <v>99.77566666666667</v>
      </c>
      <c r="J753" s="6">
        <v>5986.54</v>
      </c>
      <c r="K753" s="119">
        <f t="shared" si="122"/>
        <v>0.022478389618120174</v>
      </c>
      <c r="L753" s="29">
        <v>12200</v>
      </c>
      <c r="M753" s="80"/>
      <c r="N753" s="36">
        <f t="shared" si="129"/>
        <v>203.7905033625433</v>
      </c>
      <c r="O753" s="35">
        <f t="shared" si="123"/>
        <v>0.04918891810332972</v>
      </c>
      <c r="P753" s="90"/>
    </row>
    <row r="754" spans="1:16" ht="12.75">
      <c r="A754" s="145"/>
      <c r="B754" s="157"/>
      <c r="C754" s="4" t="s">
        <v>98</v>
      </c>
      <c r="D754" s="4" t="s">
        <v>189</v>
      </c>
      <c r="E754" s="6">
        <v>17436.36</v>
      </c>
      <c r="F754" s="6">
        <v>25250</v>
      </c>
      <c r="G754" s="6">
        <v>28840</v>
      </c>
      <c r="H754" s="6">
        <v>22081.65</v>
      </c>
      <c r="I754" s="39">
        <f t="shared" si="130"/>
        <v>76.56605409153954</v>
      </c>
      <c r="J754" s="6">
        <v>29038.02</v>
      </c>
      <c r="K754" s="119">
        <f t="shared" si="122"/>
        <v>0.10903258431393861</v>
      </c>
      <c r="L754" s="29">
        <v>34910</v>
      </c>
      <c r="M754" s="80"/>
      <c r="N754" s="36">
        <f t="shared" si="129"/>
        <v>120.22169555637747</v>
      </c>
      <c r="O754" s="35">
        <f t="shared" si="123"/>
        <v>0.14075287958911809</v>
      </c>
      <c r="P754" s="90"/>
    </row>
    <row r="755" spans="1:16" ht="12.75">
      <c r="A755" s="145"/>
      <c r="B755" s="157"/>
      <c r="C755" s="4" t="s">
        <v>99</v>
      </c>
      <c r="D755" s="4" t="s">
        <v>106</v>
      </c>
      <c r="E755" s="6">
        <v>2171.59</v>
      </c>
      <c r="F755" s="6">
        <v>3550</v>
      </c>
      <c r="G755" s="6">
        <v>3850</v>
      </c>
      <c r="H755" s="6">
        <v>2869.99</v>
      </c>
      <c r="I755" s="39">
        <f t="shared" si="130"/>
        <v>74.5451948051948</v>
      </c>
      <c r="J755" s="6">
        <v>3866.66</v>
      </c>
      <c r="K755" s="119">
        <f t="shared" si="122"/>
        <v>0.014518618434154043</v>
      </c>
      <c r="L755" s="29">
        <v>5050</v>
      </c>
      <c r="M755" s="80"/>
      <c r="N755" s="36">
        <f t="shared" si="129"/>
        <v>130.6036734546094</v>
      </c>
      <c r="O755" s="35">
        <f t="shared" si="123"/>
        <v>0.020360986591952058</v>
      </c>
      <c r="P755" s="90"/>
    </row>
    <row r="756" spans="1:16" ht="12.75">
      <c r="A756" s="145"/>
      <c r="B756" s="157"/>
      <c r="C756" s="4">
        <v>4170</v>
      </c>
      <c r="D756" s="4" t="s">
        <v>86</v>
      </c>
      <c r="E756" s="6">
        <v>18224</v>
      </c>
      <c r="F756" s="6">
        <v>49540</v>
      </c>
      <c r="G756" s="6">
        <v>27540</v>
      </c>
      <c r="H756" s="6">
        <v>23579.6</v>
      </c>
      <c r="I756" s="39">
        <f t="shared" si="130"/>
        <v>85.61946259985476</v>
      </c>
      <c r="J756" s="6">
        <v>27079.6</v>
      </c>
      <c r="K756" s="119">
        <f t="shared" si="122"/>
        <v>0.10167906662326602</v>
      </c>
      <c r="L756" s="29">
        <v>10000</v>
      </c>
      <c r="M756" s="80"/>
      <c r="N756" s="36">
        <f t="shared" si="129"/>
        <v>36.928167328911805</v>
      </c>
      <c r="O756" s="35">
        <f t="shared" si="123"/>
        <v>0.040318785330598135</v>
      </c>
      <c r="P756" s="90"/>
    </row>
    <row r="757" spans="1:16" ht="12.75">
      <c r="A757" s="145"/>
      <c r="B757" s="157"/>
      <c r="C757" s="4" t="s">
        <v>101</v>
      </c>
      <c r="D757" s="4" t="s">
        <v>74</v>
      </c>
      <c r="E757" s="6">
        <v>31817.91</v>
      </c>
      <c r="F757" s="6">
        <v>21500</v>
      </c>
      <c r="G757" s="6">
        <v>21500</v>
      </c>
      <c r="H757" s="6">
        <v>10734.19</v>
      </c>
      <c r="I757" s="39">
        <f t="shared" si="130"/>
        <v>49.926465116279076</v>
      </c>
      <c r="J757" s="6">
        <v>20830.31</v>
      </c>
      <c r="K757" s="119">
        <f t="shared" si="122"/>
        <v>0.07821409763339505</v>
      </c>
      <c r="L757" s="29">
        <v>21000</v>
      </c>
      <c r="M757" s="80"/>
      <c r="N757" s="36">
        <f t="shared" si="129"/>
        <v>100.81463021913738</v>
      </c>
      <c r="O757" s="35">
        <f t="shared" si="123"/>
        <v>0.08466944919425608</v>
      </c>
      <c r="P757" s="90"/>
    </row>
    <row r="758" spans="1:16" ht="12.75">
      <c r="A758" s="145"/>
      <c r="B758" s="157"/>
      <c r="C758" s="4">
        <v>4220</v>
      </c>
      <c r="D758" s="4" t="s">
        <v>306</v>
      </c>
      <c r="E758" s="6">
        <v>150699.55</v>
      </c>
      <c r="F758" s="6">
        <v>150000</v>
      </c>
      <c r="G758" s="6">
        <v>165000</v>
      </c>
      <c r="H758" s="6">
        <v>89711.59</v>
      </c>
      <c r="I758" s="39">
        <f t="shared" si="130"/>
        <v>54.3706606060606</v>
      </c>
      <c r="J758" s="6">
        <v>154831.7</v>
      </c>
      <c r="K758" s="119">
        <f t="shared" si="122"/>
        <v>0.5813654093743461</v>
      </c>
      <c r="L758" s="29">
        <v>160000</v>
      </c>
      <c r="M758" s="80"/>
      <c r="N758" s="36">
        <f t="shared" si="129"/>
        <v>103.33801153123035</v>
      </c>
      <c r="O758" s="35">
        <f t="shared" si="123"/>
        <v>0.6451005652895702</v>
      </c>
      <c r="P758" s="90"/>
    </row>
    <row r="759" spans="1:16" ht="12.75">
      <c r="A759" s="145"/>
      <c r="B759" s="157"/>
      <c r="C759" s="4">
        <v>4270</v>
      </c>
      <c r="D759" s="4" t="s">
        <v>77</v>
      </c>
      <c r="E759" s="6">
        <v>2109.45</v>
      </c>
      <c r="F759" s="6">
        <v>3000</v>
      </c>
      <c r="G759" s="6">
        <v>3000</v>
      </c>
      <c r="H759" s="6">
        <v>1554.72</v>
      </c>
      <c r="I759" s="39">
        <f t="shared" si="130"/>
        <v>51.824000000000005</v>
      </c>
      <c r="J759" s="6">
        <v>2000</v>
      </c>
      <c r="K759" s="119">
        <f t="shared" si="122"/>
        <v>0.0075096431722230786</v>
      </c>
      <c r="L759" s="29">
        <v>2000</v>
      </c>
      <c r="M759" s="80"/>
      <c r="N759" s="36">
        <f t="shared" si="129"/>
        <v>100</v>
      </c>
      <c r="O759" s="35">
        <f t="shared" si="123"/>
        <v>0.008063757066119625</v>
      </c>
      <c r="P759" s="90"/>
    </row>
    <row r="760" spans="1:16" ht="12.75">
      <c r="A760" s="145"/>
      <c r="B760" s="157"/>
      <c r="C760" s="4">
        <v>4280</v>
      </c>
      <c r="D760" s="4" t="s">
        <v>91</v>
      </c>
      <c r="E760" s="6">
        <v>120</v>
      </c>
      <c r="F760" s="6">
        <v>250</v>
      </c>
      <c r="G760" s="6">
        <v>250</v>
      </c>
      <c r="H760" s="6">
        <v>250</v>
      </c>
      <c r="I760" s="39">
        <f t="shared" si="130"/>
        <v>100</v>
      </c>
      <c r="J760" s="6">
        <v>250</v>
      </c>
      <c r="K760" s="119">
        <f t="shared" si="122"/>
        <v>0.0009387053965278848</v>
      </c>
      <c r="L760" s="29">
        <v>250</v>
      </c>
      <c r="M760" s="80"/>
      <c r="N760" s="36">
        <f t="shared" si="129"/>
        <v>100</v>
      </c>
      <c r="O760" s="35">
        <f t="shared" si="123"/>
        <v>0.0010079696332649531</v>
      </c>
      <c r="P760" s="90"/>
    </row>
    <row r="761" spans="1:16" ht="12.75">
      <c r="A761" s="145"/>
      <c r="B761" s="157"/>
      <c r="C761" s="4" t="s">
        <v>78</v>
      </c>
      <c r="D761" s="4" t="s">
        <v>87</v>
      </c>
      <c r="E761" s="6">
        <v>1728.42</v>
      </c>
      <c r="F761" s="6">
        <v>3500</v>
      </c>
      <c r="G761" s="6">
        <v>3500</v>
      </c>
      <c r="H761" s="6">
        <v>1940.38</v>
      </c>
      <c r="I761" s="39">
        <f t="shared" si="130"/>
        <v>55.43942857142857</v>
      </c>
      <c r="J761" s="6">
        <v>2250</v>
      </c>
      <c r="K761" s="119">
        <f t="shared" si="122"/>
        <v>0.008448348568750963</v>
      </c>
      <c r="L761" s="29">
        <v>3000</v>
      </c>
      <c r="M761" s="80"/>
      <c r="N761" s="36">
        <f t="shared" si="129"/>
        <v>133.33333333333331</v>
      </c>
      <c r="O761" s="35">
        <f t="shared" si="123"/>
        <v>0.012095635599179439</v>
      </c>
      <c r="P761" s="90"/>
    </row>
    <row r="762" spans="1:16" ht="12.75">
      <c r="A762" s="145"/>
      <c r="B762" s="157"/>
      <c r="C762" s="4" t="s">
        <v>124</v>
      </c>
      <c r="D762" s="4" t="s">
        <v>125</v>
      </c>
      <c r="E762" s="6">
        <v>601.74</v>
      </c>
      <c r="F762" s="6">
        <v>1000</v>
      </c>
      <c r="G762" s="6">
        <v>1000</v>
      </c>
      <c r="H762" s="6">
        <v>530.7</v>
      </c>
      <c r="I762" s="39">
        <f t="shared" si="130"/>
        <v>53.07000000000001</v>
      </c>
      <c r="J762" s="6">
        <v>1000</v>
      </c>
      <c r="K762" s="119">
        <f t="shared" si="122"/>
        <v>0.0037548215861115393</v>
      </c>
      <c r="L762" s="29">
        <v>1000</v>
      </c>
      <c r="M762" s="80"/>
      <c r="N762" s="36">
        <f t="shared" si="129"/>
        <v>100</v>
      </c>
      <c r="O762" s="35">
        <f t="shared" si="123"/>
        <v>0.0040318785330598125</v>
      </c>
      <c r="P762" s="90"/>
    </row>
    <row r="763" spans="1:16" ht="12.75">
      <c r="A763" s="145"/>
      <c r="B763" s="157"/>
      <c r="C763" s="4" t="s">
        <v>118</v>
      </c>
      <c r="D763" s="4" t="s">
        <v>180</v>
      </c>
      <c r="E763" s="6">
        <v>5047.08</v>
      </c>
      <c r="F763" s="6">
        <v>6900</v>
      </c>
      <c r="G763" s="6">
        <v>8100</v>
      </c>
      <c r="H763" s="6">
        <v>5743.13</v>
      </c>
      <c r="I763" s="39">
        <f t="shared" si="130"/>
        <v>70.90283950617284</v>
      </c>
      <c r="J763" s="6">
        <v>8018.5</v>
      </c>
      <c r="K763" s="119">
        <f t="shared" si="122"/>
        <v>0.030108036888235375</v>
      </c>
      <c r="L763" s="29">
        <v>8050</v>
      </c>
      <c r="M763" s="80"/>
      <c r="N763" s="36">
        <f t="shared" si="129"/>
        <v>100.39284155390659</v>
      </c>
      <c r="O763" s="35">
        <f t="shared" si="123"/>
        <v>0.03245662219113149</v>
      </c>
      <c r="P763" s="90"/>
    </row>
    <row r="764" spans="1:16" ht="22.5">
      <c r="A764" s="145"/>
      <c r="B764" s="157"/>
      <c r="C764" s="49">
        <v>4700</v>
      </c>
      <c r="D764" s="4" t="s">
        <v>140</v>
      </c>
      <c r="E764" s="6"/>
      <c r="F764" s="6">
        <v>150</v>
      </c>
      <c r="G764" s="6">
        <v>150</v>
      </c>
      <c r="H764" s="6"/>
      <c r="I764" s="39">
        <f t="shared" si="130"/>
        <v>0</v>
      </c>
      <c r="J764" s="6">
        <v>120</v>
      </c>
      <c r="K764" s="119">
        <f t="shared" si="122"/>
        <v>0.00045057859033338475</v>
      </c>
      <c r="L764" s="29">
        <v>300</v>
      </c>
      <c r="M764" s="80"/>
      <c r="N764" s="36">
        <f t="shared" si="129"/>
        <v>250</v>
      </c>
      <c r="O764" s="35">
        <f t="shared" si="123"/>
        <v>0.001209563559917944</v>
      </c>
      <c r="P764" s="90"/>
    </row>
    <row r="765" spans="1:16" ht="12.75">
      <c r="A765" s="145"/>
      <c r="B765" s="157"/>
      <c r="C765" s="159">
        <v>6057</v>
      </c>
      <c r="D765" s="22" t="s">
        <v>73</v>
      </c>
      <c r="E765" s="6"/>
      <c r="F765" s="6"/>
      <c r="G765" s="6">
        <v>56196.04</v>
      </c>
      <c r="H765" s="6">
        <f>H766</f>
        <v>0</v>
      </c>
      <c r="I765" s="39">
        <f t="shared" si="130"/>
        <v>0</v>
      </c>
      <c r="J765" s="6">
        <f>J766</f>
        <v>0</v>
      </c>
      <c r="K765" s="119">
        <f t="shared" si="122"/>
        <v>0</v>
      </c>
      <c r="L765" s="6">
        <f>L766</f>
        <v>56196.04</v>
      </c>
      <c r="M765" s="60"/>
      <c r="N765" s="36"/>
      <c r="O765" s="35">
        <f t="shared" si="123"/>
        <v>0.22657560731897058</v>
      </c>
      <c r="P765" s="90"/>
    </row>
    <row r="766" spans="1:16" ht="12.75">
      <c r="A766" s="145"/>
      <c r="B766" s="157"/>
      <c r="C766" s="160"/>
      <c r="D766" s="70"/>
      <c r="E766" s="6"/>
      <c r="F766" s="6"/>
      <c r="G766" s="6"/>
      <c r="H766" s="6"/>
      <c r="I766" s="39" t="e">
        <f t="shared" si="130"/>
        <v>#DIV/0!</v>
      </c>
      <c r="J766" s="6"/>
      <c r="K766" s="119">
        <f t="shared" si="122"/>
        <v>0</v>
      </c>
      <c r="L766" s="29">
        <v>56196.04</v>
      </c>
      <c r="M766" s="80"/>
      <c r="N766" s="36"/>
      <c r="O766" s="35">
        <f t="shared" si="123"/>
        <v>0.22657560731897058</v>
      </c>
      <c r="P766" s="90"/>
    </row>
    <row r="767" spans="1:16" s="108" customFormat="1" ht="12.75">
      <c r="A767" s="136"/>
      <c r="B767" s="157"/>
      <c r="C767" s="161">
        <v>6059</v>
      </c>
      <c r="D767" s="22" t="s">
        <v>73</v>
      </c>
      <c r="E767" s="48"/>
      <c r="F767" s="48"/>
      <c r="G767" s="48">
        <v>9916.95</v>
      </c>
      <c r="H767" s="48" t="e">
        <f>H768+#REF!</f>
        <v>#REF!</v>
      </c>
      <c r="I767" s="39" t="e">
        <f t="shared" si="130"/>
        <v>#REF!</v>
      </c>
      <c r="J767" s="48">
        <f>J768</f>
        <v>0</v>
      </c>
      <c r="K767" s="119">
        <f t="shared" si="122"/>
        <v>0</v>
      </c>
      <c r="L767" s="48">
        <f>L768</f>
        <v>9916.95</v>
      </c>
      <c r="M767" s="112" t="e">
        <f>M768+#REF!</f>
        <v>#REF!</v>
      </c>
      <c r="N767" s="36"/>
      <c r="O767" s="35">
        <f t="shared" si="123"/>
        <v>0.03998393781842752</v>
      </c>
      <c r="P767" s="90"/>
    </row>
    <row r="768" spans="1:16" ht="12.75">
      <c r="A768" s="136"/>
      <c r="B768" s="158"/>
      <c r="C768" s="151"/>
      <c r="D768" s="24" t="s">
        <v>287</v>
      </c>
      <c r="E768" s="6"/>
      <c r="F768" s="6"/>
      <c r="G768" s="6"/>
      <c r="H768" s="6"/>
      <c r="I768" s="39" t="e">
        <f t="shared" si="130"/>
        <v>#DIV/0!</v>
      </c>
      <c r="J768" s="6"/>
      <c r="K768" s="119">
        <f t="shared" si="122"/>
        <v>0</v>
      </c>
      <c r="L768" s="29">
        <v>9916.95</v>
      </c>
      <c r="M768" s="80"/>
      <c r="N768" s="36"/>
      <c r="O768" s="35">
        <f t="shared" si="123"/>
        <v>0.03998393781842752</v>
      </c>
      <c r="P768" s="90"/>
    </row>
    <row r="769" spans="1:16" ht="12.75">
      <c r="A769" s="140"/>
      <c r="B769" s="146"/>
      <c r="C769" s="33"/>
      <c r="D769" s="33" t="s">
        <v>341</v>
      </c>
      <c r="E769" s="5" t="e">
        <f>E4+E34+E82+E108+E116+E206+#REF!+E214+#REF!+E244+E250+E257+E484+E511+E633+E652+E669++E706+E719</f>
        <v>#REF!</v>
      </c>
      <c r="F769" s="5" t="e">
        <f>F4+F34+F82+F108+F116+F206+#REF!+F214+#REF!+F244+F250+F257+F484+F511+F633+F652+F669++F706+F719</f>
        <v>#REF!</v>
      </c>
      <c r="G769" s="5" t="e">
        <f>G4+G34+G82+G108+G116+G206+#REF!+G214+#REF!+G244+G250+G257+G484+G511+G633+G652+G669++G706+G719</f>
        <v>#REF!</v>
      </c>
      <c r="H769" s="5" t="e">
        <f>H4+H34+H82+H108+H116+H206+#REF!+H214+#REF!+H244+H250+H257+H484+H511+H633+H652+H669++H706+H719</f>
        <v>#REF!</v>
      </c>
      <c r="I769" s="39" t="e">
        <f t="shared" si="130"/>
        <v>#REF!</v>
      </c>
      <c r="J769" s="5">
        <f>J4+J34+J82+J108+J116+J206+J214+J244+J250+J257+J484+J511+J633+J652+J669++J706+J719</f>
        <v>26632423.86</v>
      </c>
      <c r="K769" s="120">
        <f t="shared" si="122"/>
        <v>100</v>
      </c>
      <c r="L769" s="5">
        <f>L4+L34+L82+L108+L116+L206+L214+L244+L250+L257+L484+L511+L633+L652+L669++L706+L719</f>
        <v>24802334.49</v>
      </c>
      <c r="M769" s="45" t="e">
        <f>M4+M34+M82+M108+M116+M206+#REF!+M214+#REF!+M244+M250+M257+M484+M511+M633+M652+M669++M706+M719</f>
        <v>#REF!</v>
      </c>
      <c r="N769" s="38">
        <f>(L769/J769)*100</f>
        <v>93.12834092901073</v>
      </c>
      <c r="O769" s="67">
        <f t="shared" si="123"/>
        <v>100</v>
      </c>
      <c r="P769" s="93"/>
    </row>
    <row r="770" spans="1:15" s="16" customFormat="1" ht="11.25">
      <c r="A770" s="64"/>
      <c r="B770" s="65"/>
      <c r="C770" s="65">
        <v>1</v>
      </c>
      <c r="D770" s="17" t="s">
        <v>232</v>
      </c>
      <c r="E770" s="48" t="e">
        <f>E5+E35+E83+E109+E117+E207+#REF!+E215+#REF!+E245+E251+E258+E485+E512+E635+E653+E670+E707+E720</f>
        <v>#REF!</v>
      </c>
      <c r="F770" s="48" t="e">
        <f>F5+F35+F83+F109+F117+F207+#REF!+F215+#REF!+F245+F251+F258+F485+F512+F635+F653+F670+F707+F720</f>
        <v>#REF!</v>
      </c>
      <c r="G770" s="48" t="e">
        <f>G5+G35+G83+G109+G117+G207+#REF!+G215+#REF!+G245+G251+G258+G485+G512+G635+G653+G670+G707+G720</f>
        <v>#REF!</v>
      </c>
      <c r="H770" s="48" t="e">
        <f>H5+H35+H83+H109+H117+H207+#REF!+H215+#REF!+H245+H251+H258+H485+H512+H635+H653+H670+H707+H720</f>
        <v>#REF!</v>
      </c>
      <c r="I770" s="39" t="e">
        <f t="shared" si="130"/>
        <v>#REF!</v>
      </c>
      <c r="J770" s="48">
        <f>J5+J35+J83+J109+J117+J207+J215+J245+J251+J258+J485+J512+J635+J653+J670+J707+J720</f>
        <v>21779297.92</v>
      </c>
      <c r="K770" s="119">
        <f t="shared" si="122"/>
        <v>81.77737796037016</v>
      </c>
      <c r="L770" s="48">
        <f>L5+L35+L83+L109+L117+L207+L215+L245+L251+L258+L485+L512+L635+L653+L670+L707+L720</f>
        <v>20873871.35</v>
      </c>
      <c r="M770" s="112" t="e">
        <f>M5+M35+M83+M109+M117+M207+#REF!+M215+#REF!+M245+M251+M258+M485+M512+M635+M653+M670+M707+M720</f>
        <v>#REF!</v>
      </c>
      <c r="N770" s="36">
        <f>(L770/J770)*100</f>
        <v>95.8427192036868</v>
      </c>
      <c r="O770" s="35">
        <f t="shared" si="123"/>
        <v>84.16091379791727</v>
      </c>
    </row>
    <row r="771" spans="1:15" s="16" customFormat="1" ht="11.25">
      <c r="A771" s="64"/>
      <c r="B771" s="65"/>
      <c r="C771" s="65">
        <v>2</v>
      </c>
      <c r="D771" s="19" t="s">
        <v>231</v>
      </c>
      <c r="E771" s="25" t="e">
        <f>E721+E708+E671+E654+E513+E486+E260+E216+#REF!+E208+E119+E110+E84+E36+E6</f>
        <v>#REF!</v>
      </c>
      <c r="F771" s="25" t="e">
        <f>F721+F708+F671+F654+F513+F486+F260+F216+#REF!+F208+F119+F110+F84+F36+F6</f>
        <v>#REF!</v>
      </c>
      <c r="G771" s="25" t="e">
        <f>G721+G708+G671+G654+G513+G486+G260+G216+#REF!+G208+G119+G110+G84+G36+G6</f>
        <v>#REF!</v>
      </c>
      <c r="H771" s="25" t="e">
        <f>H721+H708+H671+H654+H513+H486+H260+H216+#REF!+H208+H119+H110+H84+H36+H6</f>
        <v>#REF!</v>
      </c>
      <c r="I771" s="39" t="e">
        <f t="shared" si="130"/>
        <v>#REF!</v>
      </c>
      <c r="J771" s="25">
        <f>J721+J708+J671+J654+J513+J486+J260+J216+J208+J119+J110+J84+J36+J6</f>
        <v>4635125.94</v>
      </c>
      <c r="K771" s="120">
        <f t="shared" si="122"/>
        <v>17.40407093385754</v>
      </c>
      <c r="L771" s="25">
        <f>L721+L708+L671+L654+L513+L486+L260+L216+L208+L119+L110+L84+L36+L6</f>
        <v>3855463.1399999997</v>
      </c>
      <c r="M771" s="78" t="e">
        <f>M721+M708+M671+M654+M513+M486+M260+M216+#REF!+M208+M119+M110+M84+M36+M6</f>
        <v>#REF!</v>
      </c>
      <c r="N771" s="36">
        <f>(L771/J771)*100</f>
        <v>83.17925316178139</v>
      </c>
      <c r="O771" s="35">
        <f t="shared" si="123"/>
        <v>15.544759069169379</v>
      </c>
    </row>
    <row r="772" spans="1:15" s="16" customFormat="1" ht="11.25">
      <c r="A772" s="64"/>
      <c r="B772" s="65"/>
      <c r="C772" s="65">
        <v>3</v>
      </c>
      <c r="D772" s="20" t="s">
        <v>234</v>
      </c>
      <c r="E772" s="25" t="e">
        <f>E709+E86+E37+E673</f>
        <v>#REF!</v>
      </c>
      <c r="F772" s="25" t="e">
        <f>F709+F86+F37+F673</f>
        <v>#REF!</v>
      </c>
      <c r="G772" s="25" t="e">
        <f>G709+G86+G37+G673</f>
        <v>#REF!</v>
      </c>
      <c r="H772" s="25" t="e">
        <f>H709+H86+H37+H673</f>
        <v>#REF!</v>
      </c>
      <c r="I772" s="39" t="e">
        <f t="shared" si="130"/>
        <v>#REF!</v>
      </c>
      <c r="J772" s="25">
        <f>J709+J86+J37+J673</f>
        <v>218000</v>
      </c>
      <c r="K772" s="120">
        <f t="shared" si="122"/>
        <v>0.8185511057723156</v>
      </c>
      <c r="L772" s="25">
        <f>L709+L86+L37+L673</f>
        <v>73000</v>
      </c>
      <c r="M772" s="78" t="e">
        <f>M709+M86+M37+M673</f>
        <v>#REF!</v>
      </c>
      <c r="N772" s="39">
        <f>(L772/J772)*100</f>
        <v>33.48623853211009</v>
      </c>
      <c r="O772" s="35">
        <f t="shared" si="123"/>
        <v>0.2943271329133663</v>
      </c>
    </row>
    <row r="773" spans="1:15" s="16" customFormat="1" ht="11.25">
      <c r="A773" s="64"/>
      <c r="B773" s="65"/>
      <c r="C773" s="65"/>
      <c r="D773" s="20" t="s">
        <v>343</v>
      </c>
      <c r="E773" s="25" t="e">
        <f>SUM(E771:E772)</f>
        <v>#REF!</v>
      </c>
      <c r="F773" s="25" t="e">
        <f>SUM(F771:F772)</f>
        <v>#REF!</v>
      </c>
      <c r="G773" s="25" t="e">
        <f>SUM(G771:G772)</f>
        <v>#REF!</v>
      </c>
      <c r="H773" s="25" t="e">
        <f>SUM(H771:H772)</f>
        <v>#REF!</v>
      </c>
      <c r="I773" s="39" t="e">
        <f t="shared" si="130"/>
        <v>#REF!</v>
      </c>
      <c r="J773" s="25">
        <f>SUM(J771:J772)</f>
        <v>4853125.94</v>
      </c>
      <c r="K773" s="120">
        <f aca="true" t="shared" si="131" ref="K773:K792">(J773/$J$769)*100</f>
        <v>18.222622039629858</v>
      </c>
      <c r="L773" s="25">
        <f>SUM(L771:L772)</f>
        <v>3928463.1399999997</v>
      </c>
      <c r="M773" s="78" t="e">
        <f>SUM(M771:M772)</f>
        <v>#REF!</v>
      </c>
      <c r="N773" s="39"/>
      <c r="O773" s="126">
        <f aca="true" t="shared" si="132" ref="O773:O792">L773/$L$769*100</f>
        <v>15.839086202082745</v>
      </c>
    </row>
    <row r="774" spans="1:15" s="16" customFormat="1" ht="11.25">
      <c r="A774" s="64"/>
      <c r="B774" s="65"/>
      <c r="C774" s="65">
        <v>4</v>
      </c>
      <c r="D774" s="104" t="s">
        <v>342</v>
      </c>
      <c r="E774" s="25" t="e">
        <f>SUM(E770:E772)</f>
        <v>#REF!</v>
      </c>
      <c r="F774" s="25" t="e">
        <f>SUM(F770:F772)</f>
        <v>#REF!</v>
      </c>
      <c r="G774" s="25" t="e">
        <f>SUM(G770:G772)</f>
        <v>#REF!</v>
      </c>
      <c r="H774" s="25" t="e">
        <f>SUM(H770:H772)</f>
        <v>#REF!</v>
      </c>
      <c r="I774" s="39" t="e">
        <f t="shared" si="130"/>
        <v>#REF!</v>
      </c>
      <c r="J774" s="25">
        <f>SUM(J770:J772)</f>
        <v>26632423.860000003</v>
      </c>
      <c r="K774" s="120">
        <f t="shared" si="131"/>
        <v>100.00000000000003</v>
      </c>
      <c r="L774" s="25">
        <f>SUM(L770:L772)</f>
        <v>24802334.490000002</v>
      </c>
      <c r="M774" s="78" t="e">
        <f>SUM(M770:M772)</f>
        <v>#REF!</v>
      </c>
      <c r="N774" s="39">
        <f>(L774/J774)*100</f>
        <v>93.12834092901073</v>
      </c>
      <c r="O774" s="35">
        <f t="shared" si="132"/>
        <v>100.00000000000003</v>
      </c>
    </row>
    <row r="775" spans="1:15" s="16" customFormat="1" ht="11.25">
      <c r="A775" s="64"/>
      <c r="B775" s="65"/>
      <c r="C775" s="65">
        <v>5</v>
      </c>
      <c r="D775" s="21" t="s">
        <v>253</v>
      </c>
      <c r="E775" s="27">
        <f>E724+E711+E515+E487+E263+E121+E675+E88</f>
        <v>924107.09</v>
      </c>
      <c r="F775" s="27">
        <f>F724+F711+F515+F487+F263+F121+F675+F88</f>
        <v>886410</v>
      </c>
      <c r="G775" s="27">
        <f>G724+G711+G515+G487+G263+G121+G675+G88</f>
        <v>904416</v>
      </c>
      <c r="H775" s="27">
        <f>H724+H711+H515+H487+H263+H121+H675+H88</f>
        <v>642549.7300000001</v>
      </c>
      <c r="I775" s="39">
        <f t="shared" si="130"/>
        <v>71.0458163057708</v>
      </c>
      <c r="J775" s="27">
        <f>J724+J711+J515+J487+J263+J121+J675+J88</f>
        <v>895249</v>
      </c>
      <c r="K775" s="119">
        <f t="shared" si="131"/>
        <v>3.3615002701447696</v>
      </c>
      <c r="L775" s="27">
        <f>L724+L711+L515+L487+L263+L121+L675+L88</f>
        <v>1835465.6400000001</v>
      </c>
      <c r="M775" s="31">
        <f>M724+M711+M515+M487+M263+M121+M675+M88</f>
        <v>20</v>
      </c>
      <c r="N775" s="113">
        <f>(L775/J775)*100</f>
        <v>205.02291988039082</v>
      </c>
      <c r="O775" s="35">
        <f t="shared" si="132"/>
        <v>7.400374512084891</v>
      </c>
    </row>
    <row r="776" spans="1:15" s="16" customFormat="1" ht="11.25">
      <c r="A776" s="64"/>
      <c r="B776" s="65"/>
      <c r="C776" s="65"/>
      <c r="D776" s="65" t="s">
        <v>302</v>
      </c>
      <c r="E776" s="61" t="e">
        <f>E26+E123+#REF!+E206+E505+E544+E564</f>
        <v>#REF!</v>
      </c>
      <c r="F776" s="61" t="e">
        <f>F26+F123+#REF!+F206+F505+F544+F564</f>
        <v>#REF!</v>
      </c>
      <c r="G776" s="61" t="e">
        <f>G26+G123+#REF!+G206+G505+G544+G564</f>
        <v>#REF!</v>
      </c>
      <c r="H776" s="61" t="e">
        <f>H26+H123+#REF!+H206+H505+H544+H564</f>
        <v>#REF!</v>
      </c>
      <c r="I776" s="39" t="e">
        <f t="shared" si="130"/>
        <v>#REF!</v>
      </c>
      <c r="J776" s="61">
        <f>J26+J123+J206+J505+J544+J564</f>
        <v>3238734.61</v>
      </c>
      <c r="K776" s="119">
        <f t="shared" si="131"/>
        <v>12.160870625314537</v>
      </c>
      <c r="L776" s="61">
        <f>L26+L123+L206+L505+L544+L564</f>
        <v>2951599</v>
      </c>
      <c r="M776" s="61" t="e">
        <f>M26+M123+#REF!+M206+M505+M544+M564</f>
        <v>#REF!</v>
      </c>
      <c r="N776" s="12"/>
      <c r="O776" s="35">
        <f t="shared" si="132"/>
        <v>11.900488646300811</v>
      </c>
    </row>
    <row r="777" spans="1:15" ht="12.75">
      <c r="A777" s="66"/>
      <c r="B777" s="51"/>
      <c r="C777" s="51"/>
      <c r="D777" s="122" t="s">
        <v>257</v>
      </c>
      <c r="E777" s="123" t="e">
        <f>E769-E771-E772</f>
        <v>#REF!</v>
      </c>
      <c r="F777" s="123" t="e">
        <f>F769-F771-F772</f>
        <v>#REF!</v>
      </c>
      <c r="G777" s="123" t="e">
        <f>G769-G771-G772</f>
        <v>#REF!</v>
      </c>
      <c r="H777" s="123" t="e">
        <f>H769-H771-H772</f>
        <v>#REF!</v>
      </c>
      <c r="I777" s="39" t="e">
        <f t="shared" si="130"/>
        <v>#REF!</v>
      </c>
      <c r="J777" s="123">
        <f>J769-J771-J772</f>
        <v>21779297.919999998</v>
      </c>
      <c r="K777" s="120">
        <f t="shared" si="131"/>
        <v>81.77737796037015</v>
      </c>
      <c r="L777" s="124">
        <f>L769-L771-L772</f>
        <v>20873871.349999998</v>
      </c>
      <c r="M777" s="124" t="e">
        <f>M769-M771-M772</f>
        <v>#REF!</v>
      </c>
      <c r="N777" s="125"/>
      <c r="O777" s="67">
        <f t="shared" si="132"/>
        <v>84.16091379791725</v>
      </c>
    </row>
    <row r="778" spans="1:15" ht="12.75">
      <c r="A778" s="66"/>
      <c r="B778" s="51"/>
      <c r="C778" s="51"/>
      <c r="D778" s="51"/>
      <c r="E778" s="63" t="e">
        <f>E770-E777</f>
        <v>#REF!</v>
      </c>
      <c r="F778" s="63" t="e">
        <f>F770-F777</f>
        <v>#REF!</v>
      </c>
      <c r="G778" s="63" t="e">
        <f>G770-G777</f>
        <v>#REF!</v>
      </c>
      <c r="H778" s="63" t="e">
        <f>H770-H777</f>
        <v>#REF!</v>
      </c>
      <c r="I778" s="39" t="e">
        <f t="shared" si="130"/>
        <v>#REF!</v>
      </c>
      <c r="J778" s="63">
        <f>J770-J777</f>
        <v>0</v>
      </c>
      <c r="K778" s="119">
        <f t="shared" si="131"/>
        <v>0</v>
      </c>
      <c r="L778" s="63">
        <f>L770-L777</f>
        <v>0</v>
      </c>
      <c r="M778" s="52" t="e">
        <f>M770-M777</f>
        <v>#REF!</v>
      </c>
      <c r="N778" s="115"/>
      <c r="O778" s="35">
        <f t="shared" si="132"/>
        <v>0</v>
      </c>
    </row>
    <row r="779" spans="1:15" s="68" customFormat="1" ht="12.75">
      <c r="A779" s="74"/>
      <c r="D779" s="75" t="s">
        <v>346</v>
      </c>
      <c r="E779" s="76"/>
      <c r="F779" s="76"/>
      <c r="G779" s="76"/>
      <c r="H779" s="76"/>
      <c r="I779" s="76"/>
      <c r="J779" s="76"/>
      <c r="K779" s="119">
        <f t="shared" si="131"/>
        <v>0</v>
      </c>
      <c r="L779" s="76">
        <f>L722+L672+L633+L261+L259+L217+L118+L85+L51+L7</f>
        <v>4362317.54</v>
      </c>
      <c r="M779" s="76" t="e">
        <f>#REF!+M359+M353+M356+M365+#REF!+M446++M461+M681+#REF!+M765+M286+M638+M640+M642+M643+M644+M645+M646+M647+M648+#REF!+M651</f>
        <v>#REF!</v>
      </c>
      <c r="N779" s="116"/>
      <c r="O779" s="35">
        <f t="shared" si="132"/>
        <v>17.588334443916292</v>
      </c>
    </row>
    <row r="780" spans="10:15" ht="12.75">
      <c r="J780" s="102"/>
      <c r="K780" s="119">
        <f t="shared" si="131"/>
        <v>0</v>
      </c>
      <c r="M780" s="30" t="e">
        <f>M104+M462+M684+#REF!+M767+#REF!</f>
        <v>#REF!</v>
      </c>
      <c r="O780" s="35">
        <f t="shared" si="132"/>
        <v>0</v>
      </c>
    </row>
    <row r="781" spans="5:15" ht="12.75">
      <c r="E781" s="100">
        <v>23427754.16</v>
      </c>
      <c r="F781" s="100">
        <v>29921536.77</v>
      </c>
      <c r="G781" s="100">
        <v>30329315.97</v>
      </c>
      <c r="H781" s="100">
        <v>18326310.26</v>
      </c>
      <c r="J781" s="103">
        <v>27469791.15</v>
      </c>
      <c r="K781" s="119">
        <f t="shared" si="131"/>
        <v>103.14416477599573</v>
      </c>
      <c r="L781" s="101">
        <v>26681879.68</v>
      </c>
      <c r="M781" s="30" t="e">
        <f>SUM(M779:M780)</f>
        <v>#REF!</v>
      </c>
      <c r="O781" s="35">
        <f t="shared" si="132"/>
        <v>107.57809790347683</v>
      </c>
    </row>
    <row r="782" spans="5:15" ht="12.75">
      <c r="E782" s="100">
        <v>20340498.99</v>
      </c>
      <c r="F782" s="100">
        <v>20732922.86</v>
      </c>
      <c r="G782" s="100">
        <v>22472190.52</v>
      </c>
      <c r="H782" s="100">
        <v>15036753.97</v>
      </c>
      <c r="J782" s="103">
        <v>21695336.23</v>
      </c>
      <c r="K782" s="119">
        <f t="shared" si="131"/>
        <v>81.46211679435174</v>
      </c>
      <c r="L782" s="101">
        <v>21690756.4</v>
      </c>
      <c r="O782" s="35">
        <f t="shared" si="132"/>
        <v>87.45449509498975</v>
      </c>
    </row>
    <row r="783" spans="5:15" ht="12.75">
      <c r="E783" s="100">
        <v>2644473.31</v>
      </c>
      <c r="F783" s="100">
        <v>8954777.16</v>
      </c>
      <c r="G783" s="100">
        <v>8016667.76</v>
      </c>
      <c r="H783" s="100">
        <v>3307591.5</v>
      </c>
      <c r="J783" s="103">
        <v>5583893.13</v>
      </c>
      <c r="K783" s="119">
        <f t="shared" si="131"/>
        <v>20.966522459063928</v>
      </c>
      <c r="L783" s="101">
        <v>5541110.23</v>
      </c>
      <c r="O783" s="35">
        <f t="shared" si="132"/>
        <v>22.341083385655125</v>
      </c>
    </row>
    <row r="784" spans="4:15" ht="12.75">
      <c r="D784" s="10" t="s">
        <v>318</v>
      </c>
      <c r="I784" s="7"/>
      <c r="J784" s="102"/>
      <c r="K784" s="119">
        <f t="shared" si="131"/>
        <v>0</v>
      </c>
      <c r="L784" s="102"/>
      <c r="O784" s="35">
        <f t="shared" si="132"/>
        <v>0</v>
      </c>
    </row>
    <row r="785" spans="4:15" ht="12.75">
      <c r="D785" s="105">
        <v>4010</v>
      </c>
      <c r="E785" s="100">
        <f aca="true" t="shared" si="133" ref="E785:L785">E27+E57+E126+E160+E269+E270+E271+E309+E319+E342+E343+E344+E378+E392+E414+E421+E429+E430+E431+E472+E494+E506+E522+E548+E574+E597+E609+E627+E640+E641+E657+E727+E752</f>
        <v>7268647.440000001</v>
      </c>
      <c r="F785" s="100">
        <f t="shared" si="133"/>
        <v>7411694.9</v>
      </c>
      <c r="G785" s="100">
        <f t="shared" si="133"/>
        <v>7418143.31</v>
      </c>
      <c r="H785" s="100">
        <f t="shared" si="133"/>
        <v>5121303.63</v>
      </c>
      <c r="I785" s="100" t="e">
        <f t="shared" si="133"/>
        <v>#DIV/0!</v>
      </c>
      <c r="J785" s="100">
        <f t="shared" si="133"/>
        <v>7510588.63</v>
      </c>
      <c r="K785" s="119">
        <f t="shared" si="131"/>
        <v>28.20092031232789</v>
      </c>
      <c r="L785" s="100">
        <f t="shared" si="133"/>
        <v>6260074.1899999995</v>
      </c>
      <c r="O785" s="35">
        <f t="shared" si="132"/>
        <v>25.239858742022797</v>
      </c>
    </row>
    <row r="786" spans="4:15" ht="12.75">
      <c r="D786" s="105">
        <v>4040</v>
      </c>
      <c r="E786" s="100">
        <f aca="true" t="shared" si="134" ref="E786:L786">E58+E129+E161+E272+E310+E320+E345+E379+E393+E415+E422+E432+E473+E495+E523+E549+E575+E598+E610+E642+E658+E728+E753</f>
        <v>580117.46</v>
      </c>
      <c r="F786" s="100">
        <f t="shared" si="134"/>
        <v>582033</v>
      </c>
      <c r="G786" s="100">
        <f t="shared" si="134"/>
        <v>568308.15</v>
      </c>
      <c r="H786" s="100">
        <f t="shared" si="134"/>
        <v>565317.0199999999</v>
      </c>
      <c r="I786" s="100" t="e">
        <f t="shared" si="134"/>
        <v>#DIV/0!</v>
      </c>
      <c r="J786" s="100">
        <f t="shared" si="134"/>
        <v>565460.6000000001</v>
      </c>
      <c r="K786" s="119">
        <f t="shared" si="131"/>
        <v>2.123203666975583</v>
      </c>
      <c r="L786" s="100">
        <f t="shared" si="134"/>
        <v>504377</v>
      </c>
      <c r="O786" s="35">
        <f t="shared" si="132"/>
        <v>2.0335867988691096</v>
      </c>
    </row>
    <row r="787" spans="4:15" ht="12.75">
      <c r="D787" s="105">
        <v>4110</v>
      </c>
      <c r="E787" s="100" t="e">
        <f>E28+E59+E132+E162+#REF!+E191+E210+E221+E273+E274+E275+E311+E321+E346+E347+E348+E380+E394+E416+E423+E433+E434+E435+E474+E496+E507+E524+E540+E550+E576+E599+E611+E628+E643+E659+E729+E754</f>
        <v>#REF!</v>
      </c>
      <c r="F787" s="100" t="e">
        <f>F28+F59+F132+F162+#REF!+F191+F210+F221+F273+F274+F275+F311+F321+F346+F347+F348+F380+F394+F416+F423+F433+F434+F435+F474+F496+F507+F524+F540+F550+F576+F599+F611+F628+F643+F659+F729+F754</f>
        <v>#REF!</v>
      </c>
      <c r="G787" s="100" t="e">
        <f>G28+G59+G132+G162+#REF!+G191+G210+G221+G273+G274+G275+G311+G321+G346+G347+G348+G380+G394+G416+G423+G433+G434+G435+G474+G496+G507+G524+G540+G550+G576+G599+G611+G628+G643+G659+G729+G754</f>
        <v>#REF!</v>
      </c>
      <c r="H787" s="100" t="e">
        <f>H28+H59+H132+H162+#REF!+H191+H210+H221+H273+H274+H275+H311+H321+H346+H347+H348+H380+H394+H416+H423+H433+H434+H435+H474+H496+H507+H524+H540+H550+H576+H599+H611+H628+H643+H659+H729+H754</f>
        <v>#REF!</v>
      </c>
      <c r="I787" s="100" t="e">
        <f>I28+I59+I132+I162+#REF!+I191+I210+I221+I273+I274+I275+I311+I321+I346+I347+I348+I380+I394+I416+I423+I433+I434+I435+I474+I496+I507+I524+I540+I550+I576+I599+I611+I628+I643+I659+I729+I754</f>
        <v>#REF!</v>
      </c>
      <c r="J787" s="100">
        <f>J28+J59+J132+J162+J191+J210+J221+J273+J274+J275+J311+J321+J346+J347+J348+J380+J394+J416+J423+J433+J434+J435+J474+J496+J507+J524+J540+J550+J576+J599+J611+J628+J643+J659+J729+J754</f>
        <v>1311028.61</v>
      </c>
      <c r="K787" s="119">
        <f t="shared" si="131"/>
        <v>4.922678524837807</v>
      </c>
      <c r="L787" s="100">
        <f>L28+L59+L132+L162+L191+L210+L221+L273+L274+L275+L311+L321+L346+L347+L348+L380+L394+L416+L423+L433+L434+L435+L474+L496+L507+L524+L540+L550+L576+L599+L611+L628+L643+L659+L729+L754</f>
        <v>1191113.53</v>
      </c>
      <c r="O787" s="35">
        <f t="shared" si="132"/>
        <v>4.8024250720440955</v>
      </c>
    </row>
    <row r="788" spans="4:15" ht="12.75">
      <c r="D788" s="105">
        <v>4120</v>
      </c>
      <c r="E788" s="100" t="e">
        <f>E29+E60+E135+E163+#REF!+E192+E211+E222+E276+E277+E278+E312+E322+E349+E350+E351+E381+E395+E417+E424+E436+E437+E438+E475+E497+E508+E525+E551+E577+E600+E612+E629+E644+E660+E730+E755+E541</f>
        <v>#REF!</v>
      </c>
      <c r="F788" s="100" t="e">
        <f>F29+F60+F135+F163+#REF!+F192+F211+F222+F276+F277+F278+F312+F322+F349+F350+F351+F381+F395+F417+F424+F436+F437+F438+F475+F497+F508+F525+F551+F577+F600+F612+F629+F644+F660+F730+F755+F541</f>
        <v>#REF!</v>
      </c>
      <c r="G788" s="100" t="e">
        <f>G29+G60+G135+G163+#REF!+G192+G211+G222+G276+G277+G278+G312+G322+G349+G350+G351+G381+G395+G417+G424+G436+G437+G438+G475+G497+G508+G525+G551+G577+G600+G612+G629+G644+G660+G730+G755+G541</f>
        <v>#REF!</v>
      </c>
      <c r="H788" s="100" t="e">
        <f>H29+H60+H135+H163+#REF!+H192+H211+H222+H276+H277+H278+H312+H322+H349+H350+H351+H381+H395+H417+H424+H436+H437+H438+H475+H497+H508+H525+H551+H577+H600+H612+H629+H644+H660+H730+H755+H541</f>
        <v>#REF!</v>
      </c>
      <c r="I788" s="100" t="e">
        <f>I29+I60+I135+I163+#REF!+I192+I211+I222+I276+I277+I278+I312+I322+I349+I350+I351+I381+I395+I417+I424+I436+I437+I438+I475+I497+I508+I525+I551+I577+I600+I612+I629+I644+I660+I730+I755+I541</f>
        <v>#REF!</v>
      </c>
      <c r="J788" s="100">
        <f>J29+J60+J135+J163+J192+J211+J222+J276+J277+J278+J312+J322+J349+J350+J351+J381+J395+J417+J424+J436+J437+J438+J475+J497+J508+J525+J551+J577+J600+J612+J629+J644+J660+J730+J755+J541</f>
        <v>165234.56</v>
      </c>
      <c r="K788" s="119">
        <f t="shared" si="131"/>
        <v>0.6204262926596423</v>
      </c>
      <c r="L788" s="100">
        <f>L29+L60+L135+L163+L192+L211+L222+L276+L277+L278+L312+L322+L349+L350+L351+L381+L395+L417+L424+L436+L437+L438+L475+L497+L508+L525+L551+L577+L600+L612+L629+L644+L660+L730+L755+L541</f>
        <v>170675.14</v>
      </c>
      <c r="O788" s="35">
        <f t="shared" si="132"/>
        <v>0.6881414330929783</v>
      </c>
    </row>
    <row r="789" spans="4:15" ht="12.75">
      <c r="D789" s="105">
        <v>4170</v>
      </c>
      <c r="E789" s="100" t="e">
        <f>#REF!+E61+E138+E165+#REF!+E193+E194+E195+E212+E223+E237+E279+E280+E281+E323+E352+E353+E354+E382+E397+E439+E440+E441+#REF!+E481+E498+E526+E578+E601+E731+E756+E92+E542</f>
        <v>#REF!</v>
      </c>
      <c r="F789" s="100" t="e">
        <f>#REF!+F61+F138+F165+#REF!+F193+F194+F195+F212+F223+F237+F279+F280+F281+F323+F352+F353+F354+F382+F397+F439+F440+F441+#REF!+F481+F498+F526+F578+F601+F731+F756+F92+F542</f>
        <v>#REF!</v>
      </c>
      <c r="G789" s="100" t="e">
        <f>#REF!+G61+G138+G165+#REF!+G193+G194+G195+G212+G223+G237+G279+G280+G281+G323+G352+G353+G354+G382+G397+G439+G440+G441+#REF!+G481+G498+G526+G578+G601+G731+G756+G92+G542</f>
        <v>#REF!</v>
      </c>
      <c r="H789" s="100" t="e">
        <f>#REF!+H61+H138+H165+#REF!+H193+H194+H195+H212+H223+H237+H279+H280+H281+H323+H352+H353+H354+H382+H397+H439+H440+H441+#REF!+H481+H498+H526+H578+H601+H731+H756+H92+H542</f>
        <v>#REF!</v>
      </c>
      <c r="I789" s="100" t="e">
        <f>#REF!+I61+I138+I165+#REF!+I193+I194+I195+I212+I223+I237+I279+I280+I281+I323+I352+I353+I354+I382+I397+I439+I440+I441+#REF!+I481+I498+I526+I578+I601+I731+I756+I92+I542</f>
        <v>#REF!</v>
      </c>
      <c r="J789" s="100">
        <f>J61+J138+J165+J193+J194+J195+J212+J223+J237+J279+J280+J281+J323+J352+J353+J354+J382+J397+J439+J440+J441+J481+J498+J526+J578+J601+J731+J756+J92+J542</f>
        <v>267595.61</v>
      </c>
      <c r="K789" s="119">
        <f t="shared" si="131"/>
        <v>1.0047737727766848</v>
      </c>
      <c r="L789" s="100">
        <f>L61+L138+L165+L193+L194+L195+L212+L223+L237+L279+L280+L281+L323+L352+L353+L354+L382+L397+L439+L440+L441+L481+L498+L526+L578+L601+L731+L756+L92+L542</f>
        <v>301495.01</v>
      </c>
      <c r="O789" s="35">
        <f t="shared" si="132"/>
        <v>1.2155912586436537</v>
      </c>
    </row>
    <row r="790" spans="4:15" ht="12.75">
      <c r="D790" s="105">
        <v>4100</v>
      </c>
      <c r="E790" s="100" t="e">
        <f>#REF!+E190</f>
        <v>#REF!</v>
      </c>
      <c r="F790" s="100" t="e">
        <f>#REF!+F190</f>
        <v>#REF!</v>
      </c>
      <c r="G790" s="100" t="e">
        <f>#REF!+G190</f>
        <v>#REF!</v>
      </c>
      <c r="H790" s="100" t="e">
        <f>#REF!+H190</f>
        <v>#REF!</v>
      </c>
      <c r="I790" s="100" t="e">
        <f>#REF!+I190</f>
        <v>#REF!</v>
      </c>
      <c r="J790" s="100">
        <f>J190</f>
        <v>46000</v>
      </c>
      <c r="K790" s="119">
        <f t="shared" si="131"/>
        <v>0.17272179296113083</v>
      </c>
      <c r="L790" s="100">
        <f>L190</f>
        <v>48000</v>
      </c>
      <c r="O790" s="35">
        <f t="shared" si="132"/>
        <v>0.19353016958687103</v>
      </c>
    </row>
    <row r="791" spans="4:15" ht="12.75">
      <c r="D791" s="105"/>
      <c r="E791" s="100"/>
      <c r="F791" s="100"/>
      <c r="G791" s="100"/>
      <c r="H791" s="100"/>
      <c r="I791" s="106"/>
      <c r="J791" s="100"/>
      <c r="K791" s="119">
        <f t="shared" si="131"/>
        <v>0</v>
      </c>
      <c r="L791" s="101"/>
      <c r="O791" s="35">
        <f t="shared" si="132"/>
        <v>0</v>
      </c>
    </row>
    <row r="792" spans="4:15" ht="12.75">
      <c r="D792" s="105"/>
      <c r="E792" s="100" t="e">
        <f aca="true" t="shared" si="135" ref="E792:L792">E785+E786+E787+E788+E789+E790</f>
        <v>#REF!</v>
      </c>
      <c r="F792" s="100" t="e">
        <f t="shared" si="135"/>
        <v>#REF!</v>
      </c>
      <c r="G792" s="100" t="e">
        <f t="shared" si="135"/>
        <v>#REF!</v>
      </c>
      <c r="H792" s="100" t="e">
        <f t="shared" si="135"/>
        <v>#REF!</v>
      </c>
      <c r="I792" s="100" t="e">
        <f t="shared" si="135"/>
        <v>#DIV/0!</v>
      </c>
      <c r="J792" s="127">
        <f t="shared" si="135"/>
        <v>9865908.01</v>
      </c>
      <c r="K792" s="120">
        <f t="shared" si="131"/>
        <v>37.04472436253874</v>
      </c>
      <c r="L792" s="127">
        <f t="shared" si="135"/>
        <v>8475734.87</v>
      </c>
      <c r="M792" s="128"/>
      <c r="N792" s="129"/>
      <c r="O792" s="67">
        <f t="shared" si="132"/>
        <v>34.1731334742595</v>
      </c>
    </row>
  </sheetData>
  <mergeCells count="102">
    <mergeCell ref="B488:B490"/>
    <mergeCell ref="B693:B695"/>
    <mergeCell ref="B691:B692"/>
    <mergeCell ref="B306:B313"/>
    <mergeCell ref="B622:B632"/>
    <mergeCell ref="B505:B510"/>
    <mergeCell ref="B539:B542"/>
    <mergeCell ref="B594:B606"/>
    <mergeCell ref="B543:B561"/>
    <mergeCell ref="B480:B483"/>
    <mergeCell ref="B572:B593"/>
    <mergeCell ref="B696:B698"/>
    <mergeCell ref="B687:B690"/>
    <mergeCell ref="B566:B567"/>
    <mergeCell ref="B676:B686"/>
    <mergeCell ref="B666:B668"/>
    <mergeCell ref="B655:B662"/>
    <mergeCell ref="B491:B504"/>
    <mergeCell ref="B536:B538"/>
    <mergeCell ref="B562:B565"/>
    <mergeCell ref="B568:B569"/>
    <mergeCell ref="B520:B535"/>
    <mergeCell ref="B518:B519"/>
    <mergeCell ref="B699:B701"/>
    <mergeCell ref="C765:C766"/>
    <mergeCell ref="C767:C768"/>
    <mergeCell ref="C681:C683"/>
    <mergeCell ref="C684:C686"/>
    <mergeCell ref="B702:B705"/>
    <mergeCell ref="B750:B769"/>
    <mergeCell ref="B717:B718"/>
    <mergeCell ref="B715:B716"/>
    <mergeCell ref="B712:B714"/>
    <mergeCell ref="B745:B749"/>
    <mergeCell ref="B9:B22"/>
    <mergeCell ref="A108:A115"/>
    <mergeCell ref="B89:B90"/>
    <mergeCell ref="B156:B183"/>
    <mergeCell ref="A116:A205"/>
    <mergeCell ref="B184:B205"/>
    <mergeCell ref="A484:A510"/>
    <mergeCell ref="A719:A769"/>
    <mergeCell ref="A652:A668"/>
    <mergeCell ref="A1:A2"/>
    <mergeCell ref="A244:A247"/>
    <mergeCell ref="B111:B112"/>
    <mergeCell ref="B219:B235"/>
    <mergeCell ref="A206:A213"/>
    <mergeCell ref="A214:A243"/>
    <mergeCell ref="B122:B148"/>
    <mergeCell ref="B113:B115"/>
    <mergeCell ref="B1:B2"/>
    <mergeCell ref="B209:B213"/>
    <mergeCell ref="A511:A632"/>
    <mergeCell ref="A669:A705"/>
    <mergeCell ref="A706:A718"/>
    <mergeCell ref="A633:A651"/>
    <mergeCell ref="A250:A253"/>
    <mergeCell ref="A257:A483"/>
    <mergeCell ref="A82:A107"/>
    <mergeCell ref="A4:A33"/>
    <mergeCell ref="A34:A81"/>
    <mergeCell ref="B470:B479"/>
    <mergeCell ref="B337:B373"/>
    <mergeCell ref="B419:B425"/>
    <mergeCell ref="B241:B243"/>
    <mergeCell ref="B426:B465"/>
    <mergeCell ref="B376:B389"/>
    <mergeCell ref="B236:B240"/>
    <mergeCell ref="B246:B247"/>
    <mergeCell ref="L1:N1"/>
    <mergeCell ref="J1:J2"/>
    <mergeCell ref="C1:C2"/>
    <mergeCell ref="D1:D2"/>
    <mergeCell ref="H1:I1"/>
    <mergeCell ref="E1:E2"/>
    <mergeCell ref="K1:K2"/>
    <mergeCell ref="C80:C81"/>
    <mergeCell ref="G1:G2"/>
    <mergeCell ref="F1:F2"/>
    <mergeCell ref="C19:C21"/>
    <mergeCell ref="C16:C18"/>
    <mergeCell ref="B49:B81"/>
    <mergeCell ref="C75:C77"/>
    <mergeCell ref="B41:B48"/>
    <mergeCell ref="B24:B25"/>
    <mergeCell ref="B26:B33"/>
    <mergeCell ref="B725:B744"/>
    <mergeCell ref="B314:B336"/>
    <mergeCell ref="B252:B253"/>
    <mergeCell ref="B264:B305"/>
    <mergeCell ref="B663:B665"/>
    <mergeCell ref="B607:B621"/>
    <mergeCell ref="B634:B651"/>
    <mergeCell ref="B390:B411"/>
    <mergeCell ref="B412:B418"/>
    <mergeCell ref="B466:B469"/>
    <mergeCell ref="B149:B155"/>
    <mergeCell ref="C100:C101"/>
    <mergeCell ref="B91:B107"/>
    <mergeCell ref="C106:C107"/>
    <mergeCell ref="C104:C105"/>
  </mergeCells>
  <printOptions/>
  <pageMargins left="0.16" right="0.16" top="0.37" bottom="0.25" header="0.16" footer="0.22"/>
  <pageSetup horizontalDpi="600" verticalDpi="600" orientation="portrait" paperSize="9" r:id="rId1"/>
  <headerFooter alignWithMargins="0">
    <oddHeader>&amp;CStrona &amp;P Zał. N 2  do U RM Nr .......  z dnia ........... w sprawie budżetu gminy na rok 2013-PROJEKT WYDATKÓW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Urzad Miasta</cp:lastModifiedBy>
  <cp:lastPrinted>2012-11-19T17:25:03Z</cp:lastPrinted>
  <dcterms:created xsi:type="dcterms:W3CDTF">2007-10-16T17:18:34Z</dcterms:created>
  <dcterms:modified xsi:type="dcterms:W3CDTF">2012-12-20T13:14:20Z</dcterms:modified>
  <cp:category/>
  <cp:version/>
  <cp:contentType/>
  <cp:contentStatus/>
</cp:coreProperties>
</file>