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WPF 30.06.2013" sheetId="1" r:id="rId1"/>
  </sheets>
  <definedNames/>
  <calcPr fullCalcOnLoad="1"/>
</workbook>
</file>

<file path=xl/sharedStrings.xml><?xml version="1.0" encoding="utf-8"?>
<sst xmlns="http://schemas.openxmlformats.org/spreadsheetml/2006/main" count="134" uniqueCount="114">
  <si>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</si>
  <si>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</si>
  <si>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</si>
  <si>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</si>
  <si>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</si>
  <si>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</si>
  <si>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</si>
  <si>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</si>
  <si>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</si>
  <si>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 xml:space="preserve"> Plan  III Kwartału 2012</t>
  </si>
  <si>
    <t xml:space="preserve"> Wykonanie  2012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</si>
  <si>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</si>
  <si>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</si>
  <si>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</si>
  <si>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</si>
  <si>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</si>
  <si>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</si>
  <si>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</si>
  <si>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</si>
  <si>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Prognoza     2022</t>
  </si>
  <si>
    <t>Prognoza     2023</t>
  </si>
  <si>
    <t>Prognoza     2024</t>
  </si>
  <si>
    <t>Prognoza     2025</t>
  </si>
  <si>
    <t>A. Dochody ogółem, z tego:</t>
  </si>
  <si>
    <t>A.1. Dochody bieżące</t>
  </si>
  <si>
    <t xml:space="preserve">    dochody własne </t>
  </si>
  <si>
    <t>dotacje na zadania bieżące</t>
  </si>
  <si>
    <t>Środki unijne</t>
  </si>
  <si>
    <t>A.2. Dochody majątkowe, w tym:</t>
  </si>
  <si>
    <t>A.2.1. Dochody ze sprzedaży majątku</t>
  </si>
  <si>
    <t>Dotacje na inwestycje</t>
  </si>
  <si>
    <t>Środki unijne na inwestycje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</si>
  <si>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</si>
  <si>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</si>
  <si>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</si>
  <si>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</si>
  <si>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</si>
  <si>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</si>
  <si>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</si>
  <si>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</si>
  <si>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</si>
  <si>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</si>
  <si>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</si>
  <si>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</si>
  <si>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</si>
  <si>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</si>
  <si>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</si>
  <si>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</si>
  <si>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</si>
  <si>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</si>
  <si>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</si>
  <si>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</si>
  <si>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</si>
  <si>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</si>
  <si>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</si>
  <si>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</si>
  <si>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</si>
  <si>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</si>
  <si>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</si>
  <si>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</si>
  <si>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</si>
  <si>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</si>
  <si>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</si>
  <si>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</si>
  <si>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</si>
  <si>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</si>
  <si>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</si>
  <si>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</si>
  <si>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</si>
  <si>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</si>
  <si>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</si>
  <si>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</si>
  <si>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</si>
  <si>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</si>
  <si>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</si>
  <si>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</si>
  <si>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</si>
  <si>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</si>
  <si>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tak</t>
  </si>
  <si>
    <t>Skumulowany wynik budżetu</t>
  </si>
  <si>
    <t>wolne śr  na 31.12.</t>
  </si>
  <si>
    <t>Dochody + Przychody</t>
  </si>
  <si>
    <t>Wydatki+Rozchody</t>
  </si>
  <si>
    <t>Różnice =(D+P)-(W+R)</t>
  </si>
  <si>
    <t>Plan spłat + odset/D</t>
  </si>
  <si>
    <t>Spłaty odsetek od kredytów i pozyczek, w tym :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</si>
  <si>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</si>
  <si>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</si>
  <si>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</si>
  <si>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</si>
  <si>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</si>
  <si>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</si>
  <si>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</si>
  <si>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</si>
  <si>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</si>
  <si>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</si>
  <si>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</si>
  <si>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</si>
  <si>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</si>
  <si>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</si>
  <si>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</si>
  <si>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</si>
  <si>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</si>
  <si>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</si>
  <si>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</si>
  <si>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 xml:space="preserve">ROK </t>
  </si>
  <si>
    <t>III kw.2012</t>
  </si>
  <si>
    <t xml:space="preserve">%Db+Ds.-Wb/D w danym roku </t>
  </si>
  <si>
    <t xml:space="preserve">wskaź 3 letni </t>
  </si>
  <si>
    <r>
      <t xml:space="preserve">Wskaźnik obsługi długu po odliczeniu splat UE = </t>
    </r>
    <r>
      <rPr>
        <b/>
        <sz val="8"/>
        <rFont val="Arial"/>
        <family val="2"/>
      </rPr>
      <t>H</t>
    </r>
  </si>
  <si>
    <t>Wykonanie 30.06.2013</t>
  </si>
  <si>
    <t>% wykonania</t>
  </si>
  <si>
    <t>PLAN na 2013</t>
  </si>
  <si>
    <t>Załącznik  Nr 2  do Zarządzenia Burmistrza Jezioran Nr 59/2013 z dnia 30.08.2013r. W sprawie  kształtowania się Wieloletniej Prognozy Finansowej gminy na lata 2013-2025- Informacja o prognozie kwoty długu gminy  i spłat zobowiązań  na lata 2013-2025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</si>
</sst>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#,##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0" xfId="0" applyFont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5" borderId="17" xfId="0" applyFont="1" applyFill="1" applyBorder="1" applyAlignment="1" applyProtection="1">
      <alignment vertical="center" wrapText="1"/>
      <protection/>
    </xf>
    <xf numFmtId="164" fontId="24" fillId="26" borderId="18" xfId="0" applyNumberFormat="1" applyFont="1" applyFill="1" applyBorder="1" applyAlignment="1" applyProtection="1">
      <alignment vertical="center"/>
      <protection/>
    </xf>
    <xf numFmtId="164" fontId="24" fillId="26" borderId="19" xfId="0" applyNumberFormat="1" applyFont="1" applyFill="1" applyBorder="1" applyAlignment="1" applyProtection="1">
      <alignment vertical="center"/>
      <protection/>
    </xf>
    <xf numFmtId="164" fontId="24" fillId="26" borderId="14" xfId="0" applyNumberFormat="1" applyFont="1" applyFill="1" applyBorder="1" applyAlignment="1" applyProtection="1">
      <alignment vertical="center"/>
      <protection/>
    </xf>
    <xf numFmtId="164" fontId="24" fillId="26" borderId="20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7" borderId="22" xfId="0" applyNumberFormat="1" applyFont="1" applyFill="1" applyBorder="1" applyAlignment="1" applyProtection="1">
      <alignment vertical="center" wrapText="1"/>
      <protection locked="0"/>
    </xf>
    <xf numFmtId="164" fontId="23" fillId="27" borderId="23" xfId="0" applyNumberFormat="1" applyFont="1" applyFill="1" applyBorder="1" applyAlignment="1" applyProtection="1">
      <alignment vertical="center"/>
      <protection locked="0"/>
    </xf>
    <xf numFmtId="165" fontId="23" fillId="27" borderId="24" xfId="0" applyNumberFormat="1" applyFont="1" applyFill="1" applyBorder="1" applyAlignment="1" applyProtection="1">
      <alignment vertical="center"/>
      <protection locked="0"/>
    </xf>
    <xf numFmtId="165" fontId="23" fillId="27" borderId="25" xfId="0" applyNumberFormat="1" applyFont="1" applyFill="1" applyBorder="1" applyAlignment="1" applyProtection="1">
      <alignment vertical="center"/>
      <protection locked="0"/>
    </xf>
    <xf numFmtId="164" fontId="23" fillId="27" borderId="26" xfId="0" applyNumberFormat="1" applyFont="1" applyFill="1" applyBorder="1" applyAlignment="1" applyProtection="1">
      <alignment vertical="center"/>
      <protection locked="0"/>
    </xf>
    <xf numFmtId="164" fontId="23" fillId="27" borderId="22" xfId="0" applyNumberFormat="1" applyFont="1" applyFill="1" applyBorder="1" applyAlignment="1" applyProtection="1">
      <alignment vertical="center"/>
      <protection locked="0"/>
    </xf>
    <xf numFmtId="4" fontId="23" fillId="27" borderId="25" xfId="0" applyNumberFormat="1" applyFont="1" applyFill="1" applyBorder="1" applyAlignment="1" applyProtection="1">
      <alignment vertical="center"/>
      <protection locked="0"/>
    </xf>
    <xf numFmtId="4" fontId="23" fillId="0" borderId="26" xfId="0" applyNumberFormat="1" applyFont="1" applyBorder="1" applyAlignment="1">
      <alignment/>
    </xf>
    <xf numFmtId="4" fontId="23" fillId="0" borderId="27" xfId="0" applyNumberFormat="1" applyFont="1" applyBorder="1" applyAlignment="1">
      <alignment/>
    </xf>
    <xf numFmtId="0" fontId="23" fillId="25" borderId="14" xfId="0" applyFont="1" applyFill="1" applyBorder="1" applyAlignment="1" applyProtection="1">
      <alignment vertical="center" wrapText="1"/>
      <protection/>
    </xf>
    <xf numFmtId="164" fontId="23" fillId="27" borderId="14" xfId="0" applyNumberFormat="1" applyFont="1" applyFill="1" applyBorder="1" applyAlignment="1" applyProtection="1">
      <alignment vertical="center" wrapText="1"/>
      <protection locked="0"/>
    </xf>
    <xf numFmtId="164" fontId="23" fillId="27" borderId="14" xfId="0" applyNumberFormat="1" applyFont="1" applyFill="1" applyBorder="1" applyAlignment="1" applyProtection="1">
      <alignment vertical="center"/>
      <protection locked="0"/>
    </xf>
    <xf numFmtId="165" fontId="23" fillId="27" borderId="14" xfId="0" applyNumberFormat="1" applyFont="1" applyFill="1" applyBorder="1" applyAlignment="1" applyProtection="1">
      <alignment vertical="center"/>
      <protection locked="0"/>
    </xf>
    <xf numFmtId="4" fontId="23" fillId="27" borderId="14" xfId="0" applyNumberFormat="1" applyFont="1" applyFill="1" applyBorder="1" applyAlignment="1" applyProtection="1">
      <alignment vertical="center"/>
      <protection locked="0"/>
    </xf>
    <xf numFmtId="4" fontId="23" fillId="0" borderId="14" xfId="0" applyNumberFormat="1" applyFont="1" applyBorder="1" applyAlignment="1">
      <alignment/>
    </xf>
    <xf numFmtId="0" fontId="23" fillId="25" borderId="28" xfId="0" applyFont="1" applyFill="1" applyBorder="1" applyAlignment="1" applyProtection="1">
      <alignment vertical="center" wrapText="1"/>
      <protection/>
    </xf>
    <xf numFmtId="164" fontId="23" fillId="27" borderId="29" xfId="0" applyNumberFormat="1" applyFont="1" applyFill="1" applyBorder="1" applyAlignment="1" applyProtection="1">
      <alignment vertical="center" wrapText="1"/>
      <protection locked="0"/>
    </xf>
    <xf numFmtId="164" fontId="23" fillId="27" borderId="30" xfId="0" applyNumberFormat="1" applyFont="1" applyFill="1" applyBorder="1" applyAlignment="1" applyProtection="1">
      <alignment vertical="center"/>
      <protection locked="0"/>
    </xf>
    <xf numFmtId="165" fontId="23" fillId="27" borderId="0" xfId="0" applyNumberFormat="1" applyFont="1" applyFill="1" applyBorder="1" applyAlignment="1" applyProtection="1">
      <alignment vertical="center"/>
      <protection locked="0"/>
    </xf>
    <xf numFmtId="164" fontId="23" fillId="27" borderId="31" xfId="0" applyNumberFormat="1" applyFont="1" applyFill="1" applyBorder="1" applyAlignment="1" applyProtection="1">
      <alignment vertical="center"/>
      <protection locked="0"/>
    </xf>
    <xf numFmtId="164" fontId="23" fillId="27" borderId="32" xfId="0" applyNumberFormat="1" applyFont="1" applyFill="1" applyBorder="1" applyAlignment="1" applyProtection="1">
      <alignment vertical="center"/>
      <protection locked="0"/>
    </xf>
    <xf numFmtId="4" fontId="23" fillId="27" borderId="31" xfId="0" applyNumberFormat="1" applyFont="1" applyFill="1" applyBorder="1" applyAlignment="1" applyProtection="1">
      <alignment vertical="center"/>
      <protection locked="0"/>
    </xf>
    <xf numFmtId="4" fontId="23" fillId="0" borderId="31" xfId="0" applyNumberFormat="1" applyFont="1" applyBorder="1" applyAlignment="1">
      <alignment/>
    </xf>
    <xf numFmtId="0" fontId="23" fillId="25" borderId="33" xfId="0" applyFont="1" applyFill="1" applyBorder="1" applyAlignment="1" applyProtection="1">
      <alignment vertical="center" wrapText="1"/>
      <protection/>
    </xf>
    <xf numFmtId="164" fontId="23" fillId="27" borderId="34" xfId="0" applyNumberFormat="1" applyFont="1" applyFill="1" applyBorder="1" applyAlignment="1" applyProtection="1">
      <alignment vertical="center" wrapText="1"/>
      <protection locked="0"/>
    </xf>
    <xf numFmtId="164" fontId="23" fillId="27" borderId="35" xfId="0" applyNumberFormat="1" applyFont="1" applyFill="1" applyBorder="1" applyAlignment="1" applyProtection="1">
      <alignment vertical="center"/>
      <protection locked="0"/>
    </xf>
    <xf numFmtId="165" fontId="23" fillId="27" borderId="16" xfId="0" applyNumberFormat="1" applyFont="1" applyFill="1" applyBorder="1" applyAlignment="1" applyProtection="1">
      <alignment vertical="center"/>
      <protection locked="0"/>
    </xf>
    <xf numFmtId="164" fontId="23" fillId="27" borderId="34" xfId="0" applyNumberFormat="1" applyFont="1" applyFill="1" applyBorder="1" applyAlignment="1" applyProtection="1">
      <alignment vertical="center"/>
      <protection locked="0"/>
    </xf>
    <xf numFmtId="164" fontId="23" fillId="27" borderId="36" xfId="0" applyNumberFormat="1" applyFont="1" applyFill="1" applyBorder="1" applyAlignment="1" applyProtection="1">
      <alignment vertical="center"/>
      <protection locked="0"/>
    </xf>
    <xf numFmtId="4" fontId="23" fillId="27" borderId="30" xfId="0" applyNumberFormat="1" applyFont="1" applyFill="1" applyBorder="1" applyAlignment="1" applyProtection="1">
      <alignment vertical="center"/>
      <protection locked="0"/>
    </xf>
    <xf numFmtId="4" fontId="23" fillId="0" borderId="37" xfId="0" applyNumberFormat="1" applyFont="1" applyBorder="1" applyAlignment="1">
      <alignment/>
    </xf>
    <xf numFmtId="0" fontId="23" fillId="25" borderId="38" xfId="0" applyFont="1" applyFill="1" applyBorder="1" applyAlignment="1" applyProtection="1">
      <alignment vertical="center" wrapText="1"/>
      <protection/>
    </xf>
    <xf numFmtId="164" fontId="23" fillId="27" borderId="39" xfId="0" applyNumberFormat="1" applyFont="1" applyFill="1" applyBorder="1" applyAlignment="1" applyProtection="1">
      <alignment vertical="center" wrapText="1"/>
      <protection locked="0"/>
    </xf>
    <xf numFmtId="164" fontId="23" fillId="27" borderId="40" xfId="0" applyNumberFormat="1" applyFont="1" applyFill="1" applyBorder="1" applyAlignment="1" applyProtection="1">
      <alignment vertical="center"/>
      <protection locked="0"/>
    </xf>
    <xf numFmtId="164" fontId="23" fillId="27" borderId="41" xfId="0" applyNumberFormat="1" applyFont="1" applyFill="1" applyBorder="1" applyAlignment="1" applyProtection="1">
      <alignment vertical="center"/>
      <protection locked="0"/>
    </xf>
    <xf numFmtId="164" fontId="23" fillId="27" borderId="42" xfId="0" applyNumberFormat="1" applyFont="1" applyFill="1" applyBorder="1" applyAlignment="1" applyProtection="1">
      <alignment vertical="center"/>
      <protection locked="0"/>
    </xf>
    <xf numFmtId="164" fontId="23" fillId="27" borderId="39" xfId="0" applyNumberFormat="1" applyFont="1" applyFill="1" applyBorder="1" applyAlignment="1" applyProtection="1">
      <alignment vertical="center"/>
      <protection locked="0"/>
    </xf>
    <xf numFmtId="164" fontId="23" fillId="27" borderId="43" xfId="0" applyNumberFormat="1" applyFont="1" applyFill="1" applyBorder="1" applyAlignment="1" applyProtection="1">
      <alignment vertical="center"/>
      <protection locked="0"/>
    </xf>
    <xf numFmtId="164" fontId="25" fillId="27" borderId="43" xfId="0" applyNumberFormat="1" applyFont="1" applyFill="1" applyBorder="1" applyAlignment="1" applyProtection="1">
      <alignment vertical="center"/>
      <protection locked="0"/>
    </xf>
    <xf numFmtId="164" fontId="23" fillId="27" borderId="44" xfId="0" applyNumberFormat="1" applyFont="1" applyFill="1" applyBorder="1" applyAlignment="1" applyProtection="1">
      <alignment vertical="center"/>
      <protection locked="0"/>
    </xf>
    <xf numFmtId="164" fontId="23" fillId="27" borderId="25" xfId="0" applyNumberFormat="1" applyFont="1" applyFill="1" applyBorder="1" applyAlignment="1" applyProtection="1">
      <alignment vertical="center"/>
      <protection locked="0"/>
    </xf>
    <xf numFmtId="164" fontId="23" fillId="27" borderId="0" xfId="0" applyNumberFormat="1" applyFont="1" applyFill="1" applyBorder="1" applyAlignment="1" applyProtection="1">
      <alignment vertical="center"/>
      <protection locked="0"/>
    </xf>
    <xf numFmtId="164" fontId="25" fillId="27" borderId="14" xfId="0" applyNumberFormat="1" applyFont="1" applyFill="1" applyBorder="1" applyAlignment="1" applyProtection="1">
      <alignment vertical="center"/>
      <protection locked="0"/>
    </xf>
    <xf numFmtId="0" fontId="24" fillId="25" borderId="45" xfId="0" applyFont="1" applyFill="1" applyBorder="1" applyAlignment="1" applyProtection="1">
      <alignment vertical="center" wrapText="1"/>
      <protection/>
    </xf>
    <xf numFmtId="164" fontId="24" fillId="26" borderId="46" xfId="0" applyNumberFormat="1" applyFont="1" applyFill="1" applyBorder="1" applyAlignment="1" applyProtection="1">
      <alignment vertical="center"/>
      <protection/>
    </xf>
    <xf numFmtId="164" fontId="24" fillId="26" borderId="47" xfId="0" applyNumberFormat="1" applyFont="1" applyFill="1" applyBorder="1" applyAlignment="1" applyProtection="1">
      <alignment vertical="center"/>
      <protection/>
    </xf>
    <xf numFmtId="164" fontId="24" fillId="26" borderId="31" xfId="0" applyNumberFormat="1" applyFont="1" applyFill="1" applyBorder="1" applyAlignment="1" applyProtection="1">
      <alignment vertical="center"/>
      <protection/>
    </xf>
    <xf numFmtId="4" fontId="24" fillId="26" borderId="14" xfId="0" applyNumberFormat="1" applyFont="1" applyFill="1" applyBorder="1" applyAlignment="1" applyProtection="1">
      <alignment vertical="center"/>
      <protection/>
    </xf>
    <xf numFmtId="164" fontId="23" fillId="27" borderId="29" xfId="0" applyNumberFormat="1" applyFont="1" applyFill="1" applyBorder="1" applyAlignment="1" applyProtection="1">
      <alignment vertical="center"/>
      <protection locked="0"/>
    </xf>
    <xf numFmtId="4" fontId="23" fillId="0" borderId="16" xfId="0" applyNumberFormat="1" applyFont="1" applyBorder="1" applyAlignment="1">
      <alignment/>
    </xf>
    <xf numFmtId="4" fontId="23" fillId="0" borderId="48" xfId="0" applyNumberFormat="1" applyFont="1" applyFill="1" applyBorder="1" applyAlignment="1">
      <alignment/>
    </xf>
    <xf numFmtId="0" fontId="23" fillId="25" borderId="49" xfId="0" applyFont="1" applyFill="1" applyBorder="1" applyAlignment="1" applyProtection="1">
      <alignment vertical="center" wrapText="1"/>
      <protection/>
    </xf>
    <xf numFmtId="164" fontId="23" fillId="27" borderId="50" xfId="0" applyNumberFormat="1" applyFont="1" applyFill="1" applyBorder="1" applyAlignment="1" applyProtection="1">
      <alignment vertical="center"/>
      <protection locked="0"/>
    </xf>
    <xf numFmtId="164" fontId="23" fillId="27" borderId="51" xfId="0" applyNumberFormat="1" applyFont="1" applyFill="1" applyBorder="1" applyAlignment="1" applyProtection="1">
      <alignment vertical="center"/>
      <protection locked="0"/>
    </xf>
    <xf numFmtId="0" fontId="24" fillId="25" borderId="52" xfId="0" applyFont="1" applyFill="1" applyBorder="1" applyAlignment="1" applyProtection="1">
      <alignment vertical="center" wrapText="1"/>
      <protection/>
    </xf>
    <xf numFmtId="164" fontId="24" fillId="26" borderId="53" xfId="0" applyNumberFormat="1" applyFont="1" applyFill="1" applyBorder="1" applyAlignment="1" applyProtection="1">
      <alignment vertical="center"/>
      <protection/>
    </xf>
    <xf numFmtId="164" fontId="24" fillId="26" borderId="54" xfId="0" applyNumberFormat="1" applyFont="1" applyFill="1" applyBorder="1" applyAlignment="1" applyProtection="1">
      <alignment vertical="center"/>
      <protection/>
    </xf>
    <xf numFmtId="164" fontId="24" fillId="26" borderId="55" xfId="0" applyNumberFormat="1" applyFont="1" applyFill="1" applyBorder="1" applyAlignment="1" applyProtection="1">
      <alignment vertical="center"/>
      <protection/>
    </xf>
    <xf numFmtId="164" fontId="24" fillId="26" borderId="16" xfId="0" applyNumberFormat="1" applyFont="1" applyFill="1" applyBorder="1" applyAlignment="1" applyProtection="1">
      <alignment vertical="center"/>
      <protection/>
    </xf>
    <xf numFmtId="0" fontId="24" fillId="25" borderId="56" xfId="0" applyFont="1" applyFill="1" applyBorder="1" applyAlignment="1" applyProtection="1">
      <alignment vertical="center" wrapText="1"/>
      <protection/>
    </xf>
    <xf numFmtId="164" fontId="24" fillId="26" borderId="57" xfId="0" applyNumberFormat="1" applyFont="1" applyFill="1" applyBorder="1" applyAlignment="1" applyProtection="1">
      <alignment vertical="center"/>
      <protection/>
    </xf>
    <xf numFmtId="164" fontId="24" fillId="26" borderId="58" xfId="0" applyNumberFormat="1" applyFont="1" applyFill="1" applyBorder="1" applyAlignment="1" applyProtection="1">
      <alignment vertical="center"/>
      <protection/>
    </xf>
    <xf numFmtId="164" fontId="24" fillId="26" borderId="59" xfId="0" applyNumberFormat="1" applyFont="1" applyFill="1" applyBorder="1" applyAlignment="1" applyProtection="1">
      <alignment vertical="center"/>
      <protection/>
    </xf>
    <xf numFmtId="0" fontId="24" fillId="25" borderId="28" xfId="0" applyFont="1" applyFill="1" applyBorder="1" applyAlignment="1" applyProtection="1">
      <alignment vertical="center" wrapText="1"/>
      <protection/>
    </xf>
    <xf numFmtId="164" fontId="24" fillId="26" borderId="36" xfId="0" applyNumberFormat="1" applyFont="1" applyFill="1" applyBorder="1" applyAlignment="1" applyProtection="1">
      <alignment vertical="center"/>
      <protection/>
    </xf>
    <xf numFmtId="164" fontId="24" fillId="26" borderId="30" xfId="0" applyNumberFormat="1" applyFont="1" applyFill="1" applyBorder="1" applyAlignment="1" applyProtection="1">
      <alignment vertical="center"/>
      <protection/>
    </xf>
    <xf numFmtId="164" fontId="24" fillId="26" borderId="29" xfId="0" applyNumberFormat="1" applyFont="1" applyFill="1" applyBorder="1" applyAlignment="1" applyProtection="1">
      <alignment vertical="center"/>
      <protection/>
    </xf>
    <xf numFmtId="164" fontId="24" fillId="27" borderId="50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164" fontId="26" fillId="27" borderId="50" xfId="0" applyNumberFormat="1" applyFont="1" applyFill="1" applyBorder="1" applyAlignment="1" applyProtection="1">
      <alignment vertical="center"/>
      <protection locked="0"/>
    </xf>
    <xf numFmtId="164" fontId="23" fillId="27" borderId="60" xfId="0" applyNumberFormat="1" applyFont="1" applyFill="1" applyBorder="1" applyAlignment="1" applyProtection="1">
      <alignment vertical="center"/>
      <protection locked="0"/>
    </xf>
    <xf numFmtId="0" fontId="23" fillId="0" borderId="26" xfId="0" applyFont="1" applyBorder="1" applyAlignment="1">
      <alignment/>
    </xf>
    <xf numFmtId="4" fontId="23" fillId="0" borderId="61" xfId="0" applyNumberFormat="1" applyFont="1" applyBorder="1" applyAlignment="1">
      <alignment/>
    </xf>
    <xf numFmtId="164" fontId="23" fillId="27" borderId="60" xfId="0" applyNumberFormat="1" applyFont="1" applyFill="1" applyBorder="1" applyAlignment="1" applyProtection="1">
      <alignment vertical="center" wrapText="1"/>
      <protection locked="0"/>
    </xf>
    <xf numFmtId="0" fontId="23" fillId="0" borderId="31" xfId="0" applyFont="1" applyBorder="1" applyAlignment="1">
      <alignment/>
    </xf>
    <xf numFmtId="164" fontId="24" fillId="26" borderId="24" xfId="0" applyNumberFormat="1" applyFont="1" applyFill="1" applyBorder="1" applyAlignment="1" applyProtection="1">
      <alignment vertical="center"/>
      <protection/>
    </xf>
    <xf numFmtId="164" fontId="24" fillId="26" borderId="62" xfId="0" applyNumberFormat="1" applyFont="1" applyFill="1" applyBorder="1" applyAlignment="1" applyProtection="1">
      <alignment vertical="center"/>
      <protection/>
    </xf>
    <xf numFmtId="4" fontId="25" fillId="0" borderId="0" xfId="0" applyNumberFormat="1" applyFont="1" applyAlignment="1">
      <alignment/>
    </xf>
    <xf numFmtId="4" fontId="23" fillId="27" borderId="63" xfId="0" applyNumberFormat="1" applyFont="1" applyFill="1" applyBorder="1" applyAlignment="1" applyProtection="1">
      <alignment vertical="center"/>
      <protection locked="0"/>
    </xf>
    <xf numFmtId="4" fontId="23" fillId="27" borderId="64" xfId="0" applyNumberFormat="1" applyFont="1" applyFill="1" applyBorder="1" applyAlignment="1" applyProtection="1">
      <alignment vertical="center"/>
      <protection locked="0"/>
    </xf>
    <xf numFmtId="4" fontId="23" fillId="27" borderId="65" xfId="0" applyNumberFormat="1" applyFont="1" applyFill="1" applyBorder="1" applyAlignment="1" applyProtection="1">
      <alignment vertical="center"/>
      <protection locked="0"/>
    </xf>
    <xf numFmtId="4" fontId="23" fillId="27" borderId="66" xfId="0" applyNumberFormat="1" applyFont="1" applyFill="1" applyBorder="1" applyAlignment="1" applyProtection="1">
      <alignment vertical="center"/>
      <protection locked="0"/>
    </xf>
    <xf numFmtId="4" fontId="25" fillId="27" borderId="14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23" fillId="27" borderId="0" xfId="0" applyNumberFormat="1" applyFont="1" applyFill="1" applyBorder="1" applyAlignment="1" applyProtection="1">
      <alignment vertical="center"/>
      <protection locked="0"/>
    </xf>
    <xf numFmtId="4" fontId="25" fillId="27" borderId="0" xfId="0" applyNumberFormat="1" applyFont="1" applyFill="1" applyBorder="1" applyAlignment="1" applyProtection="1">
      <alignment vertical="center"/>
      <protection locked="0"/>
    </xf>
    <xf numFmtId="4" fontId="27" fillId="0" borderId="14" xfId="0" applyNumberFormat="1" applyFont="1" applyBorder="1" applyAlignment="1">
      <alignment/>
    </xf>
    <xf numFmtId="164" fontId="23" fillId="27" borderId="61" xfId="0" applyNumberFormat="1" applyFont="1" applyFill="1" applyBorder="1" applyAlignment="1" applyProtection="1">
      <alignment vertical="center"/>
      <protection locked="0"/>
    </xf>
    <xf numFmtId="164" fontId="24" fillId="0" borderId="16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4" fillId="25" borderId="67" xfId="0" applyFont="1" applyFill="1" applyBorder="1" applyAlignment="1" applyProtection="1">
      <alignment vertical="center" wrapText="1"/>
      <protection/>
    </xf>
    <xf numFmtId="164" fontId="24" fillId="26" borderId="68" xfId="0" applyNumberFormat="1" applyFont="1" applyFill="1" applyBorder="1" applyAlignment="1" applyProtection="1">
      <alignment vertical="center" wrapText="1"/>
      <protection locked="0"/>
    </xf>
    <xf numFmtId="164" fontId="23" fillId="26" borderId="69" xfId="0" applyNumberFormat="1" applyFont="1" applyFill="1" applyBorder="1" applyAlignment="1" applyProtection="1">
      <alignment vertical="center"/>
      <protection locked="0"/>
    </xf>
    <xf numFmtId="164" fontId="23" fillId="26" borderId="70" xfId="0" applyNumberFormat="1" applyFont="1" applyFill="1" applyBorder="1" applyAlignment="1" applyProtection="1">
      <alignment vertical="center"/>
      <protection locked="0"/>
    </xf>
    <xf numFmtId="164" fontId="23" fillId="26" borderId="14" xfId="0" applyNumberFormat="1" applyFont="1" applyFill="1" applyBorder="1" applyAlignment="1" applyProtection="1">
      <alignment vertical="center"/>
      <protection locked="0"/>
    </xf>
    <xf numFmtId="164" fontId="23" fillId="26" borderId="68" xfId="0" applyNumberFormat="1" applyFont="1" applyFill="1" applyBorder="1" applyAlignment="1" applyProtection="1">
      <alignment vertical="center"/>
      <protection locked="0"/>
    </xf>
    <xf numFmtId="164" fontId="23" fillId="26" borderId="53" xfId="0" applyNumberFormat="1" applyFont="1" applyFill="1" applyBorder="1" applyAlignment="1" applyProtection="1">
      <alignment vertical="center"/>
      <protection locked="0"/>
    </xf>
    <xf numFmtId="164" fontId="24" fillId="26" borderId="20" xfId="0" applyNumberFormat="1" applyFont="1" applyFill="1" applyBorder="1" applyAlignment="1" applyProtection="1">
      <alignment vertical="center" wrapText="1"/>
      <protection locked="0"/>
    </xf>
    <xf numFmtId="164" fontId="24" fillId="26" borderId="71" xfId="0" applyNumberFormat="1" applyFont="1" applyFill="1" applyBorder="1" applyAlignment="1" applyProtection="1">
      <alignment vertical="center" wrapText="1"/>
      <protection locked="0"/>
    </xf>
    <xf numFmtId="164" fontId="24" fillId="26" borderId="14" xfId="0" applyNumberFormat="1" applyFont="1" applyFill="1" applyBorder="1" applyAlignment="1" applyProtection="1">
      <alignment vertical="center" wrapText="1"/>
      <protection locked="0"/>
    </xf>
    <xf numFmtId="164" fontId="23" fillId="26" borderId="29" xfId="0" applyNumberFormat="1" applyFont="1" applyFill="1" applyBorder="1" applyAlignment="1" applyProtection="1">
      <alignment vertical="center" wrapText="1"/>
      <protection locked="0"/>
    </xf>
    <xf numFmtId="164" fontId="23" fillId="26" borderId="36" xfId="0" applyNumberFormat="1" applyFont="1" applyFill="1" applyBorder="1" applyAlignment="1" applyProtection="1">
      <alignment vertical="center"/>
      <protection locked="0"/>
    </xf>
    <xf numFmtId="164" fontId="23" fillId="26" borderId="30" xfId="0" applyNumberFormat="1" applyFont="1" applyFill="1" applyBorder="1" applyAlignment="1" applyProtection="1">
      <alignment vertical="center"/>
      <protection locked="0"/>
    </xf>
    <xf numFmtId="164" fontId="23" fillId="26" borderId="32" xfId="0" applyNumberFormat="1" applyFont="1" applyFill="1" applyBorder="1" applyAlignment="1" applyProtection="1">
      <alignment vertical="center"/>
      <protection locked="0"/>
    </xf>
    <xf numFmtId="164" fontId="23" fillId="26" borderId="16" xfId="0" applyNumberFormat="1" applyFont="1" applyFill="1" applyBorder="1" applyAlignment="1" applyProtection="1">
      <alignment vertical="center"/>
      <protection locked="0"/>
    </xf>
    <xf numFmtId="164" fontId="23" fillId="26" borderId="29" xfId="0" applyNumberFormat="1" applyFont="1" applyFill="1" applyBorder="1" applyAlignment="1" applyProtection="1">
      <alignment vertical="center"/>
      <protection locked="0"/>
    </xf>
    <xf numFmtId="4" fontId="23" fillId="26" borderId="30" xfId="0" applyNumberFormat="1" applyFont="1" applyFill="1" applyBorder="1" applyAlignment="1" applyProtection="1">
      <alignment vertical="center"/>
      <protection locked="0"/>
    </xf>
    <xf numFmtId="164" fontId="23" fillId="0" borderId="16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3" fillId="26" borderId="60" xfId="0" applyNumberFormat="1" applyFont="1" applyFill="1" applyBorder="1" applyAlignment="1" applyProtection="1">
      <alignment vertical="center" wrapText="1"/>
      <protection locked="0"/>
    </xf>
    <xf numFmtId="164" fontId="23" fillId="26" borderId="43" xfId="0" applyNumberFormat="1" applyFont="1" applyFill="1" applyBorder="1" applyAlignment="1" applyProtection="1">
      <alignment vertical="center"/>
      <protection locked="0"/>
    </xf>
    <xf numFmtId="164" fontId="23" fillId="26" borderId="44" xfId="0" applyNumberFormat="1" applyFont="1" applyFill="1" applyBorder="1" applyAlignment="1" applyProtection="1">
      <alignment vertical="center"/>
      <protection locked="0"/>
    </xf>
    <xf numFmtId="164" fontId="23" fillId="26" borderId="60" xfId="0" applyNumberFormat="1" applyFont="1" applyFill="1" applyBorder="1" applyAlignment="1" applyProtection="1">
      <alignment vertical="center"/>
      <protection locked="0"/>
    </xf>
    <xf numFmtId="164" fontId="23" fillId="26" borderId="23" xfId="0" applyNumberFormat="1" applyFont="1" applyFill="1" applyBorder="1" applyAlignment="1" applyProtection="1">
      <alignment vertical="center"/>
      <protection locked="0"/>
    </xf>
    <xf numFmtId="164" fontId="23" fillId="0" borderId="61" xfId="0" applyNumberFormat="1" applyFont="1" applyBorder="1" applyAlignment="1">
      <alignment/>
    </xf>
    <xf numFmtId="164" fontId="24" fillId="26" borderId="50" xfId="0" applyNumberFormat="1" applyFont="1" applyFill="1" applyBorder="1" applyAlignment="1" applyProtection="1">
      <alignment vertical="center"/>
      <protection/>
    </xf>
    <xf numFmtId="164" fontId="24" fillId="26" borderId="35" xfId="0" applyNumberFormat="1" applyFont="1" applyFill="1" applyBorder="1" applyAlignment="1" applyProtection="1">
      <alignment vertical="center"/>
      <protection/>
    </xf>
    <xf numFmtId="164" fontId="24" fillId="26" borderId="34" xfId="0" applyNumberFormat="1" applyFont="1" applyFill="1" applyBorder="1" applyAlignment="1" applyProtection="1">
      <alignment vertical="center"/>
      <protection/>
    </xf>
    <xf numFmtId="164" fontId="24" fillId="26" borderId="0" xfId="0" applyNumberFormat="1" applyFont="1" applyFill="1" applyBorder="1" applyAlignment="1" applyProtection="1">
      <alignment vertical="center"/>
      <protection/>
    </xf>
    <xf numFmtId="164" fontId="23" fillId="26" borderId="39" xfId="0" applyNumberFormat="1" applyFont="1" applyFill="1" applyBorder="1" applyAlignment="1" applyProtection="1">
      <alignment vertical="center" wrapText="1"/>
      <protection locked="0"/>
    </xf>
    <xf numFmtId="164" fontId="24" fillId="26" borderId="40" xfId="0" applyNumberFormat="1" applyFont="1" applyFill="1" applyBorder="1" applyAlignment="1" applyProtection="1">
      <alignment vertical="center"/>
      <protection/>
    </xf>
    <xf numFmtId="164" fontId="24" fillId="26" borderId="51" xfId="0" applyNumberFormat="1" applyFont="1" applyFill="1" applyBorder="1" applyAlignment="1" applyProtection="1">
      <alignment vertical="center"/>
      <protection/>
    </xf>
    <xf numFmtId="164" fontId="24" fillId="26" borderId="39" xfId="0" applyNumberFormat="1" applyFont="1" applyFill="1" applyBorder="1" applyAlignment="1" applyProtection="1">
      <alignment vertical="center"/>
      <protection/>
    </xf>
    <xf numFmtId="10" fontId="24" fillId="26" borderId="53" xfId="0" applyNumberFormat="1" applyFont="1" applyFill="1" applyBorder="1" applyAlignment="1" applyProtection="1">
      <alignment vertical="center"/>
      <protection/>
    </xf>
    <xf numFmtId="10" fontId="24" fillId="26" borderId="54" xfId="0" applyNumberFormat="1" applyFont="1" applyFill="1" applyBorder="1" applyAlignment="1" applyProtection="1">
      <alignment vertical="center"/>
      <protection/>
    </xf>
    <xf numFmtId="10" fontId="24" fillId="26" borderId="14" xfId="0" applyNumberFormat="1" applyFont="1" applyFill="1" applyBorder="1" applyAlignment="1" applyProtection="1">
      <alignment vertical="center"/>
      <protection/>
    </xf>
    <xf numFmtId="10" fontId="24" fillId="26" borderId="55" xfId="0" applyNumberFormat="1" applyFont="1" applyFill="1" applyBorder="1" applyAlignment="1" applyProtection="1">
      <alignment vertical="center"/>
      <protection/>
    </xf>
    <xf numFmtId="10" fontId="24" fillId="26" borderId="72" xfId="0" applyNumberFormat="1" applyFont="1" applyFill="1" applyBorder="1" applyAlignment="1" applyProtection="1">
      <alignment vertical="center"/>
      <protection/>
    </xf>
    <xf numFmtId="164" fontId="23" fillId="26" borderId="36" xfId="0" applyNumberFormat="1" applyFont="1" applyFill="1" applyBorder="1" applyAlignment="1" applyProtection="1">
      <alignment vertical="center"/>
      <protection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50" xfId="0" applyNumberFormat="1" applyFont="1" applyFill="1" applyBorder="1" applyAlignment="1" applyProtection="1">
      <alignment vertical="center"/>
      <protection/>
    </xf>
    <xf numFmtId="164" fontId="23" fillId="26" borderId="35" xfId="0" applyNumberFormat="1" applyFont="1" applyFill="1" applyBorder="1" applyAlignment="1" applyProtection="1">
      <alignment vertical="center"/>
      <protection/>
    </xf>
    <xf numFmtId="164" fontId="23" fillId="26" borderId="34" xfId="0" applyNumberFormat="1" applyFont="1" applyFill="1" applyBorder="1" applyAlignment="1" applyProtection="1">
      <alignment vertical="center"/>
      <protection/>
    </xf>
    <xf numFmtId="164" fontId="24" fillId="26" borderId="50" xfId="0" applyNumberFormat="1" applyFont="1" applyFill="1" applyBorder="1" applyAlignment="1" applyProtection="1">
      <alignment vertical="center"/>
      <protection/>
    </xf>
    <xf numFmtId="164" fontId="23" fillId="26" borderId="50" xfId="0" applyNumberFormat="1" applyFont="1" applyFill="1" applyBorder="1" applyAlignment="1" applyProtection="1">
      <alignment vertical="center"/>
      <protection locked="0"/>
    </xf>
    <xf numFmtId="164" fontId="23" fillId="26" borderId="35" xfId="0" applyNumberFormat="1" applyFont="1" applyFill="1" applyBorder="1" applyAlignment="1" applyProtection="1">
      <alignment vertical="center"/>
      <protection locked="0"/>
    </xf>
    <xf numFmtId="164" fontId="23" fillId="26" borderId="34" xfId="0" applyNumberFormat="1" applyFont="1" applyFill="1" applyBorder="1" applyAlignment="1" applyProtection="1">
      <alignment vertical="center"/>
      <protection locked="0"/>
    </xf>
    <xf numFmtId="164" fontId="23" fillId="26" borderId="40" xfId="0" applyNumberFormat="1" applyFont="1" applyFill="1" applyBorder="1" applyAlignment="1" applyProtection="1">
      <alignment vertical="center"/>
      <protection locked="0"/>
    </xf>
    <xf numFmtId="164" fontId="23" fillId="26" borderId="51" xfId="0" applyNumberFormat="1" applyFont="1" applyFill="1" applyBorder="1" applyAlignment="1" applyProtection="1">
      <alignment vertical="center"/>
      <protection locked="0"/>
    </xf>
    <xf numFmtId="164" fontId="23" fillId="26" borderId="39" xfId="0" applyNumberFormat="1" applyFont="1" applyFill="1" applyBorder="1" applyAlignment="1" applyProtection="1">
      <alignment vertical="center"/>
      <protection locked="0"/>
    </xf>
    <xf numFmtId="164" fontId="23" fillId="26" borderId="0" xfId="0" applyNumberFormat="1" applyFont="1" applyFill="1" applyBorder="1" applyAlignment="1" applyProtection="1">
      <alignment vertical="center"/>
      <protection locked="0"/>
    </xf>
    <xf numFmtId="10" fontId="24" fillId="26" borderId="69" xfId="0" applyNumberFormat="1" applyFont="1" applyFill="1" applyBorder="1" applyAlignment="1" applyProtection="1">
      <alignment vertical="center"/>
      <protection/>
    </xf>
    <xf numFmtId="10" fontId="24" fillId="26" borderId="70" xfId="0" applyNumberFormat="1" applyFont="1" applyFill="1" applyBorder="1" applyAlignment="1" applyProtection="1">
      <alignment vertical="center"/>
      <protection/>
    </xf>
    <xf numFmtId="10" fontId="24" fillId="26" borderId="68" xfId="0" applyNumberFormat="1" applyFont="1" applyFill="1" applyBorder="1" applyAlignment="1" applyProtection="1">
      <alignment vertical="center"/>
      <protection/>
    </xf>
    <xf numFmtId="10" fontId="24" fillId="26" borderId="73" xfId="0" applyNumberFormat="1" applyFont="1" applyFill="1" applyBorder="1" applyAlignment="1" applyProtection="1">
      <alignment vertical="center"/>
      <protection/>
    </xf>
    <xf numFmtId="0" fontId="24" fillId="26" borderId="68" xfId="0" applyFont="1" applyFill="1" applyBorder="1" applyAlignment="1" applyProtection="1">
      <alignment horizontal="center" vertical="center" wrapText="1"/>
      <protection/>
    </xf>
    <xf numFmtId="10" fontId="24" fillId="26" borderId="69" xfId="0" applyNumberFormat="1" applyFont="1" applyFill="1" applyBorder="1" applyAlignment="1" applyProtection="1">
      <alignment horizontal="center" vertical="center"/>
      <protection/>
    </xf>
    <xf numFmtId="2" fontId="24" fillId="26" borderId="70" xfId="0" applyNumberFormat="1" applyFont="1" applyFill="1" applyBorder="1" applyAlignment="1" applyProtection="1">
      <alignment horizontal="center" vertical="center"/>
      <protection/>
    </xf>
    <xf numFmtId="2" fontId="24" fillId="26" borderId="14" xfId="0" applyNumberFormat="1" applyFont="1" applyFill="1" applyBorder="1" applyAlignment="1" applyProtection="1">
      <alignment horizontal="center" vertical="center"/>
      <protection/>
    </xf>
    <xf numFmtId="2" fontId="24" fillId="26" borderId="68" xfId="0" applyNumberFormat="1" applyFont="1" applyFill="1" applyBorder="1" applyAlignment="1" applyProtection="1">
      <alignment horizontal="center" vertical="center"/>
      <protection/>
    </xf>
    <xf numFmtId="2" fontId="24" fillId="26" borderId="69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wrapText="1"/>
    </xf>
    <xf numFmtId="0" fontId="24" fillId="26" borderId="22" xfId="0" applyFont="1" applyFill="1" applyBorder="1" applyAlignment="1" applyProtection="1">
      <alignment horizontal="center" vertical="center" wrapText="1"/>
      <protection/>
    </xf>
    <xf numFmtId="10" fontId="24" fillId="26" borderId="23" xfId="0" applyNumberFormat="1" applyFont="1" applyFill="1" applyBorder="1" applyAlignment="1" applyProtection="1">
      <alignment horizontal="center" vertical="center"/>
      <protection/>
    </xf>
    <xf numFmtId="2" fontId="24" fillId="26" borderId="54" xfId="0" applyNumberFormat="1" applyFont="1" applyFill="1" applyBorder="1" applyAlignment="1" applyProtection="1">
      <alignment horizontal="center" vertical="center"/>
      <protection/>
    </xf>
    <xf numFmtId="2" fontId="24" fillId="26" borderId="26" xfId="0" applyNumberFormat="1" applyFont="1" applyFill="1" applyBorder="1" applyAlignment="1" applyProtection="1">
      <alignment horizontal="center" vertical="center"/>
      <protection/>
    </xf>
    <xf numFmtId="2" fontId="24" fillId="26" borderId="55" xfId="0" applyNumberFormat="1" applyFont="1" applyFill="1" applyBorder="1" applyAlignment="1" applyProtection="1">
      <alignment horizontal="center" vertical="center"/>
      <protection/>
    </xf>
    <xf numFmtId="2" fontId="24" fillId="26" borderId="53" xfId="0" applyNumberFormat="1" applyFont="1" applyFill="1" applyBorder="1" applyAlignment="1" applyProtection="1">
      <alignment horizontal="center" vertical="center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0" fontId="24" fillId="26" borderId="61" xfId="0" applyFont="1" applyFill="1" applyBorder="1" applyAlignment="1" applyProtection="1">
      <alignment horizontal="center" vertical="center" wrapText="1"/>
      <protection/>
    </xf>
    <xf numFmtId="10" fontId="24" fillId="26" borderId="14" xfId="0" applyNumberFormat="1" applyFont="1" applyFill="1" applyBorder="1" applyAlignment="1" applyProtection="1">
      <alignment horizontal="center" vertical="center"/>
      <protection/>
    </xf>
    <xf numFmtId="2" fontId="24" fillId="26" borderId="16" xfId="0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/>
    </xf>
    <xf numFmtId="0" fontId="24" fillId="25" borderId="31" xfId="0" applyFont="1" applyFill="1" applyBorder="1" applyAlignment="1" applyProtection="1">
      <alignment vertical="center" wrapText="1"/>
      <protection/>
    </xf>
    <xf numFmtId="4" fontId="24" fillId="26" borderId="31" xfId="0" applyNumberFormat="1" applyFont="1" applyFill="1" applyBorder="1" applyAlignment="1" applyProtection="1">
      <alignment horizontal="center" vertical="center" wrapText="1"/>
      <protection/>
    </xf>
    <xf numFmtId="4" fontId="24" fillId="26" borderId="31" xfId="0" applyNumberFormat="1" applyFont="1" applyFill="1" applyBorder="1" applyAlignment="1" applyProtection="1">
      <alignment horizontal="center" vertical="center"/>
      <protection/>
    </xf>
    <xf numFmtId="4" fontId="24" fillId="26" borderId="37" xfId="0" applyNumberFormat="1" applyFont="1" applyFill="1" applyBorder="1" applyAlignment="1" applyProtection="1">
      <alignment horizontal="center" vertical="center"/>
      <protection/>
    </xf>
    <xf numFmtId="4" fontId="24" fillId="26" borderId="74" xfId="0" applyNumberFormat="1" applyFont="1" applyFill="1" applyBorder="1" applyAlignment="1" applyProtection="1">
      <alignment horizontal="center" vertical="center"/>
      <protection/>
    </xf>
    <xf numFmtId="0" fontId="24" fillId="25" borderId="0" xfId="0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23" fillId="0" borderId="14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3" fillId="0" borderId="16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4" fillId="0" borderId="1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/>
    </xf>
    <xf numFmtId="3" fontId="24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7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workbookViewId="0" topLeftCell="B1">
      <pane xSplit="19125" topLeftCell="AB2" activePane="topLeft" state="split"/>
      <selection pane="topLeft" activeCell="B1" sqref="B1:Z1"/>
      <selection pane="topRight" activeCell="AB25" sqref="AB25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bestFit="1" customWidth="1"/>
    <col min="12" max="12" width="12.140625" style="0" bestFit="1" customWidth="1"/>
    <col min="13" max="14" width="11.28125" style="0" customWidth="1"/>
    <col min="15" max="15" width="9.8515625" style="0" customWidth="1"/>
    <col min="16" max="17" width="11.421875" style="0" customWidth="1"/>
    <col min="18" max="18" width="11.8515625" style="0" customWidth="1"/>
    <col min="19" max="19" width="12.28125" style="0" customWidth="1"/>
    <col min="20" max="20" width="11.57421875" style="0" customWidth="1"/>
    <col min="21" max="21" width="11.8515625" style="0" customWidth="1"/>
    <col min="22" max="22" width="11.00390625" style="0" customWidth="1"/>
    <col min="23" max="27" width="12.7109375" style="0" customWidth="1"/>
    <col min="28" max="28" width="11.8515625" style="0" customWidth="1"/>
    <col min="29" max="29" width="11.00390625" style="0" customWidth="1"/>
    <col min="30" max="30" width="10.8515625" style="0" customWidth="1"/>
  </cols>
  <sheetData>
    <row r="1" spans="2:28" ht="33" customHeight="1">
      <c r="B1" s="219" t="s">
        <v>113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1"/>
      <c r="AB1" s="1"/>
    </row>
    <row r="2" spans="2:24" ht="27" customHeight="1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  <c r="S2" s="222"/>
      <c r="T2" s="222"/>
      <c r="U2" s="222"/>
      <c r="V2" s="223"/>
      <c r="W2" s="223"/>
      <c r="X2" s="223"/>
    </row>
    <row r="3" spans="18:20" ht="8.25" customHeight="1" thickBot="1">
      <c r="R3" s="224"/>
      <c r="S3" s="224"/>
      <c r="T3" s="224"/>
    </row>
    <row r="4" spans="2:27" ht="52.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112</v>
      </c>
      <c r="N4" s="4" t="s">
        <v>110</v>
      </c>
      <c r="O4" s="4" t="s">
        <v>111</v>
      </c>
      <c r="P4" s="4" t="s">
        <v>11</v>
      </c>
      <c r="Q4" s="5" t="s">
        <v>12</v>
      </c>
      <c r="R4" s="8" t="s">
        <v>13</v>
      </c>
      <c r="S4" s="8" t="s">
        <v>14</v>
      </c>
      <c r="T4" s="8" t="s">
        <v>15</v>
      </c>
      <c r="U4" s="9" t="s">
        <v>16</v>
      </c>
      <c r="V4" s="8" t="s">
        <v>17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</row>
    <row r="5" spans="2:27" ht="30.75" customHeight="1" thickBot="1">
      <c r="B5" s="10" t="s">
        <v>23</v>
      </c>
      <c r="C5" s="11">
        <f aca="true" t="shared" si="0" ref="C5:AA5">C6+C10</f>
        <v>22073023.2</v>
      </c>
      <c r="D5" s="11">
        <f t="shared" si="0"/>
        <v>20253758.83</v>
      </c>
      <c r="E5" s="11">
        <f t="shared" si="0"/>
        <v>19890707.900000002</v>
      </c>
      <c r="F5" s="12">
        <f t="shared" si="0"/>
        <v>24057035.43</v>
      </c>
      <c r="G5" s="13">
        <f t="shared" si="0"/>
        <v>21039445.759999998</v>
      </c>
      <c r="H5" s="13">
        <f t="shared" si="0"/>
        <v>23045270.3</v>
      </c>
      <c r="I5" s="14">
        <f t="shared" si="0"/>
        <v>22366629.3</v>
      </c>
      <c r="J5" s="11">
        <f t="shared" si="0"/>
        <v>22373842.27</v>
      </c>
      <c r="K5" s="11">
        <f t="shared" si="0"/>
        <v>26455285.36</v>
      </c>
      <c r="L5" s="11">
        <f t="shared" si="0"/>
        <v>24852435.209999997</v>
      </c>
      <c r="M5" s="11">
        <f t="shared" si="0"/>
        <v>25143776.9</v>
      </c>
      <c r="N5" s="11">
        <f t="shared" si="0"/>
        <v>14807621.649999999</v>
      </c>
      <c r="O5" s="11">
        <f>N5/M5*100</f>
        <v>58.891795408827385</v>
      </c>
      <c r="P5" s="11">
        <f t="shared" si="0"/>
        <v>28286928.37</v>
      </c>
      <c r="Q5" s="12">
        <f t="shared" si="0"/>
        <v>26550697.56</v>
      </c>
      <c r="R5" s="12">
        <f t="shared" si="0"/>
        <v>24100000</v>
      </c>
      <c r="S5" s="12">
        <f t="shared" si="0"/>
        <v>23535410.08</v>
      </c>
      <c r="T5" s="12">
        <f t="shared" si="0"/>
        <v>22900000</v>
      </c>
      <c r="U5" s="12">
        <f t="shared" si="0"/>
        <v>22700000</v>
      </c>
      <c r="V5" s="12">
        <f t="shared" si="0"/>
        <v>22800000</v>
      </c>
      <c r="W5" s="13">
        <f t="shared" si="0"/>
        <v>22800000</v>
      </c>
      <c r="X5" s="13">
        <f t="shared" si="0"/>
        <v>22600000</v>
      </c>
      <c r="Y5" s="13">
        <f t="shared" si="0"/>
        <v>22500000</v>
      </c>
      <c r="Z5" s="13">
        <f t="shared" si="0"/>
        <v>22436224.68</v>
      </c>
      <c r="AA5" s="13">
        <f t="shared" si="0"/>
        <v>22500000</v>
      </c>
    </row>
    <row r="6" spans="2:27" ht="20.25" customHeight="1" thickBot="1" thickTop="1">
      <c r="B6" s="15" t="s">
        <v>24</v>
      </c>
      <c r="C6" s="16">
        <v>17624822.75</v>
      </c>
      <c r="D6" s="17">
        <v>18995152.36</v>
      </c>
      <c r="E6" s="18">
        <v>18982366.48</v>
      </c>
      <c r="F6" s="19">
        <v>19856965.48</v>
      </c>
      <c r="G6" s="20">
        <v>19873927.02</v>
      </c>
      <c r="H6" s="20">
        <v>20176900.45</v>
      </c>
      <c r="I6" s="21">
        <v>20604291.45</v>
      </c>
      <c r="J6" s="17">
        <v>20693223.75</v>
      </c>
      <c r="K6" s="17">
        <v>22355729.56</v>
      </c>
      <c r="L6" s="17">
        <v>22183631.58</v>
      </c>
      <c r="M6" s="17">
        <v>22553610.91</v>
      </c>
      <c r="N6" s="17">
        <v>12848752.7</v>
      </c>
      <c r="O6" s="11">
        <f aca="true" t="shared" si="1" ref="O6:O61">N6/M6*100</f>
        <v>56.96982514805652</v>
      </c>
      <c r="P6" s="17">
        <v>23486928.37</v>
      </c>
      <c r="Q6" s="22">
        <v>23550697.56</v>
      </c>
      <c r="R6" s="23">
        <v>22100000</v>
      </c>
      <c r="S6" s="23">
        <v>22135410.08</v>
      </c>
      <c r="T6" s="23">
        <v>21700000</v>
      </c>
      <c r="U6" s="24">
        <v>21700000</v>
      </c>
      <c r="V6" s="23">
        <v>21800000</v>
      </c>
      <c r="W6" s="23">
        <v>21800000</v>
      </c>
      <c r="X6" s="23">
        <v>21600000</v>
      </c>
      <c r="Y6" s="23">
        <v>21500000</v>
      </c>
      <c r="Z6" s="23">
        <v>21436224.68</v>
      </c>
      <c r="AA6" s="23">
        <v>21500000</v>
      </c>
    </row>
    <row r="7" spans="2:27" ht="20.25" customHeight="1" hidden="1">
      <c r="B7" s="25" t="s">
        <v>25</v>
      </c>
      <c r="C7" s="26"/>
      <c r="D7" s="27"/>
      <c r="E7" s="28"/>
      <c r="F7" s="28"/>
      <c r="G7" s="27"/>
      <c r="H7" s="27"/>
      <c r="I7" s="27"/>
      <c r="J7" s="27"/>
      <c r="K7" s="27"/>
      <c r="L7" s="27"/>
      <c r="M7" s="27"/>
      <c r="N7" s="27"/>
      <c r="O7" s="11" t="e">
        <f t="shared" si="1"/>
        <v>#DIV/0!</v>
      </c>
      <c r="P7" s="27"/>
      <c r="Q7" s="29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2:27" ht="20.25" customHeight="1" hidden="1">
      <c r="B8" s="31" t="s">
        <v>26</v>
      </c>
      <c r="C8" s="32"/>
      <c r="D8" s="33"/>
      <c r="E8" s="34"/>
      <c r="F8" s="34"/>
      <c r="G8" s="35"/>
      <c r="H8" s="35"/>
      <c r="I8" s="36"/>
      <c r="J8" s="35">
        <v>4483716.61</v>
      </c>
      <c r="K8" s="35"/>
      <c r="L8" s="35">
        <v>4335568.24</v>
      </c>
      <c r="M8" s="35">
        <v>3444288</v>
      </c>
      <c r="N8" s="35"/>
      <c r="O8" s="11">
        <f t="shared" si="1"/>
        <v>0</v>
      </c>
      <c r="P8" s="35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2:27" ht="20.25" customHeight="1" hidden="1">
      <c r="B9" s="31" t="s">
        <v>27</v>
      </c>
      <c r="C9" s="32"/>
      <c r="D9" s="33"/>
      <c r="E9" s="34"/>
      <c r="F9" s="34"/>
      <c r="G9" s="27"/>
      <c r="H9" s="27"/>
      <c r="I9" s="36"/>
      <c r="J9" s="27">
        <v>101344.78</v>
      </c>
      <c r="K9" s="27"/>
      <c r="L9" s="27">
        <v>538379.07</v>
      </c>
      <c r="M9" s="27">
        <v>846030.12</v>
      </c>
      <c r="N9" s="27"/>
      <c r="O9" s="11">
        <f t="shared" si="1"/>
        <v>0</v>
      </c>
      <c r="P9" s="27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2:27" ht="24" customHeight="1" thickBot="1" thickTop="1">
      <c r="B10" s="39" t="s">
        <v>28</v>
      </c>
      <c r="C10" s="40">
        <v>4448200.45</v>
      </c>
      <c r="D10" s="41">
        <v>1258606.47</v>
      </c>
      <c r="E10" s="28">
        <v>908341.42</v>
      </c>
      <c r="F10" s="42">
        <v>4200069.95</v>
      </c>
      <c r="G10" s="27">
        <v>1165518.74</v>
      </c>
      <c r="H10" s="27">
        <v>2868369.85</v>
      </c>
      <c r="I10" s="43">
        <v>1762337.85</v>
      </c>
      <c r="J10" s="44">
        <v>1680618.52</v>
      </c>
      <c r="K10" s="44">
        <v>4099555.8</v>
      </c>
      <c r="L10" s="44">
        <v>2668803.63</v>
      </c>
      <c r="M10" s="44">
        <v>2590165.99</v>
      </c>
      <c r="N10" s="44">
        <v>1958868.95</v>
      </c>
      <c r="O10" s="11">
        <f t="shared" si="1"/>
        <v>75.62715893740848</v>
      </c>
      <c r="P10" s="44">
        <v>4800000</v>
      </c>
      <c r="Q10" s="33">
        <v>3000000</v>
      </c>
      <c r="R10" s="45">
        <v>2000000</v>
      </c>
      <c r="S10" s="38">
        <v>1400000</v>
      </c>
      <c r="T10" s="38">
        <v>1200000</v>
      </c>
      <c r="U10" s="46">
        <v>1000000</v>
      </c>
      <c r="V10" s="38">
        <v>1000000</v>
      </c>
      <c r="W10" s="38">
        <v>1000000</v>
      </c>
      <c r="X10" s="38">
        <v>1000000</v>
      </c>
      <c r="Y10" s="38">
        <v>1000000</v>
      </c>
      <c r="Z10" s="38">
        <v>1000000</v>
      </c>
      <c r="AA10" s="38">
        <v>1000000</v>
      </c>
    </row>
    <row r="11" spans="2:27" ht="26.25" customHeight="1" thickBot="1" thickTop="1">
      <c r="B11" s="47" t="s">
        <v>29</v>
      </c>
      <c r="C11" s="48">
        <v>391709.1</v>
      </c>
      <c r="D11" s="49">
        <v>563056.43</v>
      </c>
      <c r="E11" s="50">
        <v>350817.29</v>
      </c>
      <c r="F11" s="51">
        <v>1106000</v>
      </c>
      <c r="G11" s="27">
        <v>649708.74</v>
      </c>
      <c r="H11" s="27">
        <v>534500</v>
      </c>
      <c r="I11" s="52">
        <v>534500</v>
      </c>
      <c r="J11" s="53">
        <v>567417.73</v>
      </c>
      <c r="K11" s="53">
        <v>251300</v>
      </c>
      <c r="L11" s="54">
        <v>187198.97</v>
      </c>
      <c r="M11" s="53">
        <v>222720</v>
      </c>
      <c r="N11" s="53">
        <v>150395.6</v>
      </c>
      <c r="O11" s="11">
        <f t="shared" si="1"/>
        <v>67.52676005747126</v>
      </c>
      <c r="P11" s="53">
        <v>300000</v>
      </c>
      <c r="Q11" s="55">
        <v>400000</v>
      </c>
      <c r="R11" s="23">
        <v>280000</v>
      </c>
      <c r="S11" s="23">
        <v>280000</v>
      </c>
      <c r="T11" s="23">
        <v>280000</v>
      </c>
      <c r="U11" s="24">
        <v>300000</v>
      </c>
      <c r="V11" s="23">
        <v>300000</v>
      </c>
      <c r="W11" s="23">
        <v>350000</v>
      </c>
      <c r="X11" s="30">
        <v>350000</v>
      </c>
      <c r="Y11" s="30">
        <v>350000</v>
      </c>
      <c r="Z11" s="30">
        <v>350000</v>
      </c>
      <c r="AA11" s="30">
        <v>350000</v>
      </c>
    </row>
    <row r="12" spans="2:27" ht="26.25" customHeight="1" hidden="1">
      <c r="B12" s="25" t="s">
        <v>30</v>
      </c>
      <c r="C12" s="16"/>
      <c r="D12" s="17"/>
      <c r="E12" s="17"/>
      <c r="F12" s="56"/>
      <c r="G12" s="27"/>
      <c r="H12" s="27"/>
      <c r="I12" s="57"/>
      <c r="J12" s="27">
        <v>744800</v>
      </c>
      <c r="K12" s="27"/>
      <c r="L12" s="58">
        <v>1616078.67</v>
      </c>
      <c r="M12" s="27">
        <v>244842</v>
      </c>
      <c r="N12" s="27"/>
      <c r="O12" s="11">
        <f t="shared" si="1"/>
        <v>0</v>
      </c>
      <c r="P12" s="27"/>
      <c r="Q12" s="27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2:27" ht="26.25" customHeight="1" hidden="1" thickBot="1">
      <c r="B13" s="25" t="s">
        <v>31</v>
      </c>
      <c r="C13" s="16"/>
      <c r="D13" s="17"/>
      <c r="E13" s="17"/>
      <c r="F13" s="56"/>
      <c r="G13" s="27"/>
      <c r="H13" s="27"/>
      <c r="I13" s="57"/>
      <c r="J13" s="27">
        <v>376965.46</v>
      </c>
      <c r="K13" s="27"/>
      <c r="L13" s="58">
        <v>863338</v>
      </c>
      <c r="M13" s="27">
        <v>2055691.99</v>
      </c>
      <c r="N13" s="27"/>
      <c r="O13" s="11">
        <f t="shared" si="1"/>
        <v>0</v>
      </c>
      <c r="P13" s="27"/>
      <c r="Q13" s="27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2:27" ht="25.5" customHeight="1" thickBot="1">
      <c r="B14" s="59" t="s">
        <v>32</v>
      </c>
      <c r="C14" s="11">
        <f aca="true" t="shared" si="2" ref="C14:AA14">C15+C16</f>
        <v>22409621.75</v>
      </c>
      <c r="D14" s="11">
        <f t="shared" si="2"/>
        <v>23897881.060000002</v>
      </c>
      <c r="E14" s="11">
        <f t="shared" si="2"/>
        <v>24141370.96</v>
      </c>
      <c r="F14" s="12">
        <f t="shared" si="2"/>
        <v>28317914.01</v>
      </c>
      <c r="G14" s="13">
        <f t="shared" si="2"/>
        <v>24768945.13</v>
      </c>
      <c r="H14" s="13">
        <f t="shared" si="2"/>
        <v>25647930.07</v>
      </c>
      <c r="I14" s="14">
        <f t="shared" si="2"/>
        <v>24289943.32</v>
      </c>
      <c r="J14" s="60">
        <f t="shared" si="2"/>
        <v>23447759.16</v>
      </c>
      <c r="K14" s="60">
        <f t="shared" si="2"/>
        <v>30329315.97</v>
      </c>
      <c r="L14" s="60">
        <f t="shared" si="2"/>
        <v>27111514.58</v>
      </c>
      <c r="M14" s="60">
        <f t="shared" si="2"/>
        <v>27413932.450000003</v>
      </c>
      <c r="N14" s="60">
        <f t="shared" si="2"/>
        <v>12433735.030000001</v>
      </c>
      <c r="O14" s="11">
        <f t="shared" si="1"/>
        <v>45.355532456635935</v>
      </c>
      <c r="P14" s="60">
        <f t="shared" si="2"/>
        <v>27086837.06</v>
      </c>
      <c r="Q14" s="61">
        <f t="shared" si="2"/>
        <v>24770000</v>
      </c>
      <c r="R14" s="61">
        <f t="shared" si="2"/>
        <v>22571502.06</v>
      </c>
      <c r="S14" s="61">
        <f t="shared" si="2"/>
        <v>21699600</v>
      </c>
      <c r="T14" s="61">
        <f t="shared" si="2"/>
        <v>20510000</v>
      </c>
      <c r="U14" s="61">
        <f t="shared" si="2"/>
        <v>20350000</v>
      </c>
      <c r="V14" s="62">
        <f t="shared" si="2"/>
        <v>20550000</v>
      </c>
      <c r="W14" s="62">
        <f t="shared" si="2"/>
        <v>20800000</v>
      </c>
      <c r="X14" s="13">
        <f t="shared" si="2"/>
        <v>21165400</v>
      </c>
      <c r="Y14" s="13">
        <f t="shared" si="2"/>
        <v>21272211.81</v>
      </c>
      <c r="Z14" s="63">
        <f t="shared" si="2"/>
        <v>21197853.23</v>
      </c>
      <c r="AA14" s="63">
        <f t="shared" si="2"/>
        <v>22500000</v>
      </c>
    </row>
    <row r="15" spans="2:27" ht="21" customHeight="1" thickBot="1" thickTop="1">
      <c r="B15" s="31" t="s">
        <v>33</v>
      </c>
      <c r="C15" s="32">
        <v>16068969.17</v>
      </c>
      <c r="D15" s="44">
        <v>17532283.87</v>
      </c>
      <c r="E15" s="44">
        <v>18157841.16</v>
      </c>
      <c r="F15" s="33">
        <v>20356255.14</v>
      </c>
      <c r="G15" s="27">
        <v>20778336.38</v>
      </c>
      <c r="H15" s="27">
        <v>20172834.45</v>
      </c>
      <c r="I15" s="64">
        <v>20383294.45</v>
      </c>
      <c r="J15" s="44">
        <v>20367509.72</v>
      </c>
      <c r="K15" s="44">
        <v>21601622.41</v>
      </c>
      <c r="L15" s="44">
        <v>20508594.83</v>
      </c>
      <c r="M15" s="44">
        <v>21863042.03</v>
      </c>
      <c r="N15" s="44">
        <v>11342964.81</v>
      </c>
      <c r="O15" s="11">
        <f t="shared" si="1"/>
        <v>51.88191466876122</v>
      </c>
      <c r="P15" s="44">
        <v>21871837.06</v>
      </c>
      <c r="Q15" s="33">
        <v>21002000</v>
      </c>
      <c r="R15" s="30">
        <v>20271502.06</v>
      </c>
      <c r="S15" s="30">
        <v>19954600</v>
      </c>
      <c r="T15" s="30">
        <v>18761000</v>
      </c>
      <c r="U15" s="65">
        <v>18750000</v>
      </c>
      <c r="V15" s="30">
        <v>19000000</v>
      </c>
      <c r="W15" s="30">
        <v>19000000</v>
      </c>
      <c r="X15" s="30">
        <v>19285400</v>
      </c>
      <c r="Y15" s="30">
        <v>19572211.81</v>
      </c>
      <c r="Z15" s="30">
        <v>19597853.23</v>
      </c>
      <c r="AA15" s="66">
        <v>20700000</v>
      </c>
    </row>
    <row r="16" spans="2:27" ht="22.5" customHeight="1" thickBot="1" thickTop="1">
      <c r="B16" s="67" t="s">
        <v>34</v>
      </c>
      <c r="C16" s="48">
        <v>6340652.58</v>
      </c>
      <c r="D16" s="49">
        <v>6365597.19</v>
      </c>
      <c r="E16" s="68">
        <v>5983529.8</v>
      </c>
      <c r="F16" s="55">
        <v>7961658.87</v>
      </c>
      <c r="G16" s="27">
        <v>3990608.75</v>
      </c>
      <c r="H16" s="27">
        <v>5475095.62</v>
      </c>
      <c r="I16" s="52">
        <v>3906648.87</v>
      </c>
      <c r="J16" s="49">
        <v>3080249.44</v>
      </c>
      <c r="K16" s="49">
        <v>8727693.56</v>
      </c>
      <c r="L16" s="49">
        <v>6602919.75</v>
      </c>
      <c r="M16" s="49">
        <v>5550890.42</v>
      </c>
      <c r="N16" s="49">
        <v>1090770.22</v>
      </c>
      <c r="O16" s="11">
        <f t="shared" si="1"/>
        <v>19.650364850834148</v>
      </c>
      <c r="P16" s="49">
        <v>5215000</v>
      </c>
      <c r="Q16" s="69">
        <v>3768000</v>
      </c>
      <c r="R16" s="30">
        <v>2300000</v>
      </c>
      <c r="S16" s="30">
        <v>1745000</v>
      </c>
      <c r="T16" s="30">
        <v>1749000</v>
      </c>
      <c r="U16" s="65">
        <v>1600000</v>
      </c>
      <c r="V16" s="30">
        <v>1550000</v>
      </c>
      <c r="W16" s="30">
        <v>1800000</v>
      </c>
      <c r="X16" s="30">
        <v>1880000</v>
      </c>
      <c r="Y16" s="30">
        <v>1700000</v>
      </c>
      <c r="Z16" s="30">
        <v>1600000</v>
      </c>
      <c r="AA16" s="66">
        <v>1800000</v>
      </c>
    </row>
    <row r="17" spans="2:27" ht="25.5" customHeight="1" thickBot="1">
      <c r="B17" s="70" t="s">
        <v>35</v>
      </c>
      <c r="C17" s="71">
        <f aca="true" t="shared" si="3" ref="C17:W17">C5-C14</f>
        <v>-336598.55000000075</v>
      </c>
      <c r="D17" s="71">
        <f t="shared" si="3"/>
        <v>-3644122.230000004</v>
      </c>
      <c r="E17" s="71">
        <f t="shared" si="3"/>
        <v>-4250663.059999999</v>
      </c>
      <c r="F17" s="72">
        <f t="shared" si="3"/>
        <v>-4260878.580000002</v>
      </c>
      <c r="G17" s="13">
        <f t="shared" si="3"/>
        <v>-3729499.370000001</v>
      </c>
      <c r="H17" s="13">
        <f t="shared" si="3"/>
        <v>-2602659.7699999996</v>
      </c>
      <c r="I17" s="73">
        <f t="shared" si="3"/>
        <v>-1923314.0199999996</v>
      </c>
      <c r="J17" s="71">
        <f t="shared" si="3"/>
        <v>-1073916.8900000006</v>
      </c>
      <c r="K17" s="71">
        <f t="shared" si="3"/>
        <v>-3874030.6099999994</v>
      </c>
      <c r="L17" s="71">
        <f t="shared" si="3"/>
        <v>-2259079.370000001</v>
      </c>
      <c r="M17" s="71">
        <f t="shared" si="3"/>
        <v>-2270155.5500000045</v>
      </c>
      <c r="N17" s="71">
        <f t="shared" si="3"/>
        <v>2373886.6199999973</v>
      </c>
      <c r="O17" s="11">
        <f t="shared" si="1"/>
        <v>-104.56933755045961</v>
      </c>
      <c r="P17" s="71">
        <f t="shared" si="3"/>
        <v>1200091.3100000024</v>
      </c>
      <c r="Q17" s="72">
        <f t="shared" si="3"/>
        <v>1780697.5599999987</v>
      </c>
      <c r="R17" s="72">
        <f t="shared" si="3"/>
        <v>1528497.9400000013</v>
      </c>
      <c r="S17" s="72">
        <f t="shared" si="3"/>
        <v>1835810.0799999982</v>
      </c>
      <c r="T17" s="72">
        <f t="shared" si="3"/>
        <v>2390000</v>
      </c>
      <c r="U17" s="72">
        <f t="shared" si="3"/>
        <v>2350000</v>
      </c>
      <c r="V17" s="13">
        <f t="shared" si="3"/>
        <v>2250000</v>
      </c>
      <c r="W17" s="13">
        <f t="shared" si="3"/>
        <v>2000000</v>
      </c>
      <c r="X17" s="13">
        <v>1434600</v>
      </c>
      <c r="Y17" s="13">
        <f>Y5-Y14</f>
        <v>1227788.1900000013</v>
      </c>
      <c r="Z17" s="74">
        <f>Z5-Z14</f>
        <v>1238371.4499999993</v>
      </c>
      <c r="AA17" s="74">
        <f>AA5-AA14</f>
        <v>0</v>
      </c>
    </row>
    <row r="18" spans="2:27" ht="21" customHeight="1" thickBot="1" thickTop="1">
      <c r="B18" s="75" t="s">
        <v>36</v>
      </c>
      <c r="C18" s="76">
        <f aca="true" t="shared" si="4" ref="C18:AA18">C19-C29</f>
        <v>974848.5600000005</v>
      </c>
      <c r="D18" s="76">
        <f t="shared" si="4"/>
        <v>4548260.890000001</v>
      </c>
      <c r="E18" s="76">
        <f t="shared" si="4"/>
        <v>4264539.380000001</v>
      </c>
      <c r="F18" s="77">
        <f t="shared" si="4"/>
        <v>4260878.58</v>
      </c>
      <c r="G18" s="13">
        <f t="shared" si="4"/>
        <v>3857555.9299999997</v>
      </c>
      <c r="H18" s="13">
        <f t="shared" si="4"/>
        <v>2602659.7699999996</v>
      </c>
      <c r="I18" s="78">
        <f t="shared" si="4"/>
        <v>1923314.0199999986</v>
      </c>
      <c r="J18" s="76">
        <f t="shared" si="4"/>
        <v>965738.2199999997</v>
      </c>
      <c r="K18" s="76">
        <f t="shared" si="4"/>
        <v>3874030.6099999994</v>
      </c>
      <c r="L18" s="76">
        <f t="shared" si="4"/>
        <v>2676721.709999998</v>
      </c>
      <c r="M18" s="76">
        <f t="shared" si="4"/>
        <v>2270156.0399999996</v>
      </c>
      <c r="N18" s="76">
        <f t="shared" si="4"/>
        <v>-1220620.81</v>
      </c>
      <c r="O18" s="11">
        <f t="shared" si="1"/>
        <v>-53.768145823139115</v>
      </c>
      <c r="P18" s="76">
        <f t="shared" si="4"/>
        <v>-1200090.8200000091</v>
      </c>
      <c r="Q18" s="77">
        <f t="shared" si="4"/>
        <v>-1780697.0700000054</v>
      </c>
      <c r="R18" s="77">
        <f t="shared" si="4"/>
        <v>-1528497.4500000072</v>
      </c>
      <c r="S18" s="77">
        <f t="shared" si="4"/>
        <v>-1835809.5900000054</v>
      </c>
      <c r="T18" s="77">
        <f t="shared" si="4"/>
        <v>-2389999.510000007</v>
      </c>
      <c r="U18" s="77">
        <f t="shared" si="4"/>
        <v>-2349999.510000007</v>
      </c>
      <c r="V18" s="13">
        <f t="shared" si="4"/>
        <v>-2249999.510000007</v>
      </c>
      <c r="W18" s="13">
        <f t="shared" si="4"/>
        <v>-1999999.5100000072</v>
      </c>
      <c r="X18" s="13">
        <f t="shared" si="4"/>
        <v>-1434599.5100000072</v>
      </c>
      <c r="Y18" s="13">
        <f t="shared" si="4"/>
        <v>-1227787.7000000072</v>
      </c>
      <c r="Z18" s="74">
        <f t="shared" si="4"/>
        <v>-1238370.9600000058</v>
      </c>
      <c r="AA18" s="74">
        <f t="shared" si="4"/>
        <v>0.48999999463558197</v>
      </c>
    </row>
    <row r="19" spans="2:27" ht="26.25" customHeight="1" thickBot="1" thickTop="1">
      <c r="B19" s="79" t="s">
        <v>37</v>
      </c>
      <c r="C19" s="80">
        <f>C20+C22+C24+C25+C26+C27+C28</f>
        <v>4981994.23</v>
      </c>
      <c r="D19" s="80">
        <f>D20+D22+D24+D25+D26+D27+D28</f>
        <v>5344932.12</v>
      </c>
      <c r="E19" s="80">
        <f>E20+E22+E24+E25+E26+E27+E28</f>
        <v>5015698.380000001</v>
      </c>
      <c r="F19" s="81">
        <f>F20+F22+F24+F25+F26+F27+F28</f>
        <v>6166838.86</v>
      </c>
      <c r="G19" s="13">
        <f aca="true" t="shared" si="5" ref="G19:AA19">G20+G22+G24+G25+G26+G28+G27</f>
        <v>5529932.35</v>
      </c>
      <c r="H19" s="13">
        <f t="shared" si="5"/>
        <v>4943050.899999999</v>
      </c>
      <c r="I19" s="82">
        <f t="shared" si="5"/>
        <v>4263705.1499999985</v>
      </c>
      <c r="J19" s="80">
        <f t="shared" si="5"/>
        <v>3194916.79</v>
      </c>
      <c r="K19" s="80">
        <f t="shared" si="5"/>
        <v>5855704.18</v>
      </c>
      <c r="L19" s="80">
        <f t="shared" si="5"/>
        <v>4658395.279999998</v>
      </c>
      <c r="M19" s="80">
        <f t="shared" si="5"/>
        <v>5425835.93</v>
      </c>
      <c r="N19" s="80">
        <f t="shared" si="5"/>
        <v>774271.37</v>
      </c>
      <c r="O19" s="11">
        <f t="shared" si="1"/>
        <v>14.270084462358595</v>
      </c>
      <c r="P19" s="80">
        <f t="shared" si="5"/>
        <v>0.48999999091029167</v>
      </c>
      <c r="Q19" s="80">
        <f t="shared" si="5"/>
        <v>0.48999999463558197</v>
      </c>
      <c r="R19" s="80">
        <f t="shared" si="5"/>
        <v>0.4899999927729368</v>
      </c>
      <c r="S19" s="80">
        <f t="shared" si="5"/>
        <v>0.48999999463558197</v>
      </c>
      <c r="T19" s="80">
        <f t="shared" si="5"/>
        <v>0.4899999927729368</v>
      </c>
      <c r="U19" s="80">
        <f t="shared" si="5"/>
        <v>0.4899999927729368</v>
      </c>
      <c r="V19" s="13">
        <f t="shared" si="5"/>
        <v>0.4899999927729368</v>
      </c>
      <c r="W19" s="13">
        <f t="shared" si="5"/>
        <v>0.4899999927729368</v>
      </c>
      <c r="X19" s="13">
        <f t="shared" si="5"/>
        <v>0.4899999927729368</v>
      </c>
      <c r="Y19" s="13">
        <f t="shared" si="5"/>
        <v>0.4899999927729368</v>
      </c>
      <c r="Z19" s="74">
        <f t="shared" si="5"/>
        <v>0.4899999941699207</v>
      </c>
      <c r="AA19" s="74">
        <f t="shared" si="5"/>
        <v>0.48999999463558197</v>
      </c>
    </row>
    <row r="20" spans="2:27" ht="23.25" customHeight="1" thickBot="1" thickTop="1">
      <c r="B20" s="39" t="s">
        <v>38</v>
      </c>
      <c r="C20" s="40">
        <v>3507517.36</v>
      </c>
      <c r="D20" s="68">
        <v>4706682.11</v>
      </c>
      <c r="E20" s="68">
        <v>4749809.73</v>
      </c>
      <c r="F20" s="41">
        <v>6166838.86</v>
      </c>
      <c r="G20" s="27">
        <v>5516055.42</v>
      </c>
      <c r="H20" s="27">
        <v>4284994.34</v>
      </c>
      <c r="I20" s="43">
        <v>3605648.59</v>
      </c>
      <c r="J20" s="83">
        <v>2956860.23</v>
      </c>
      <c r="K20" s="83">
        <v>5373882.85</v>
      </c>
      <c r="L20" s="68">
        <v>4290573.95</v>
      </c>
      <c r="M20" s="68">
        <v>4894193.59</v>
      </c>
      <c r="N20" s="68">
        <v>242629.03</v>
      </c>
      <c r="O20" s="11">
        <f t="shared" si="1"/>
        <v>4.957487388642508</v>
      </c>
      <c r="P20" s="68"/>
      <c r="Q20" s="41"/>
      <c r="R20" s="84"/>
      <c r="S20" s="84"/>
      <c r="T20" s="84"/>
      <c r="U20" s="85"/>
      <c r="V20" s="84"/>
      <c r="W20" s="84"/>
      <c r="X20" s="84"/>
      <c r="Y20" s="84"/>
      <c r="Z20" s="85"/>
      <c r="AA20" s="84"/>
    </row>
    <row r="21" spans="2:27" ht="49.5" customHeight="1" thickBot="1" thickTop="1">
      <c r="B21" s="39" t="s">
        <v>39</v>
      </c>
      <c r="C21" s="40">
        <v>3507517.36</v>
      </c>
      <c r="D21" s="68"/>
      <c r="E21" s="68"/>
      <c r="F21" s="41">
        <v>951570.06</v>
      </c>
      <c r="G21" s="27">
        <v>1338120</v>
      </c>
      <c r="H21" s="27">
        <v>1393511.26</v>
      </c>
      <c r="I21" s="43">
        <v>516768.35</v>
      </c>
      <c r="J21" s="86">
        <v>86923.89</v>
      </c>
      <c r="K21" s="86">
        <v>3989838.88</v>
      </c>
      <c r="L21" s="86">
        <v>3590573.95</v>
      </c>
      <c r="M21" s="68">
        <v>3018345.25</v>
      </c>
      <c r="N21" s="68">
        <v>103760</v>
      </c>
      <c r="O21" s="11">
        <f t="shared" si="1"/>
        <v>3.437645179921018</v>
      </c>
      <c r="P21" s="68">
        <v>0</v>
      </c>
      <c r="Q21" s="41">
        <v>0</v>
      </c>
      <c r="R21" s="84"/>
      <c r="S21" s="84"/>
      <c r="T21" s="84"/>
      <c r="U21" s="85"/>
      <c r="V21" s="84"/>
      <c r="W21" s="84"/>
      <c r="X21" s="84"/>
      <c r="Y21" s="84"/>
      <c r="Z21" s="85"/>
      <c r="AA21" s="84"/>
    </row>
    <row r="22" spans="2:27" ht="24.75" customHeight="1" hidden="1">
      <c r="B22" s="39" t="s">
        <v>40</v>
      </c>
      <c r="C22" s="40"/>
      <c r="D22" s="68"/>
      <c r="E22" s="68"/>
      <c r="F22" s="41"/>
      <c r="G22" s="27">
        <v>0</v>
      </c>
      <c r="H22" s="27"/>
      <c r="I22" s="43">
        <v>0</v>
      </c>
      <c r="J22" s="68"/>
      <c r="K22" s="68"/>
      <c r="L22" s="68"/>
      <c r="M22" s="68"/>
      <c r="N22" s="68"/>
      <c r="O22" s="11" t="e">
        <f t="shared" si="1"/>
        <v>#DIV/0!</v>
      </c>
      <c r="P22" s="68"/>
      <c r="Q22" s="41"/>
      <c r="R22" s="84"/>
      <c r="S22" s="84"/>
      <c r="T22" s="84"/>
      <c r="U22" s="84"/>
      <c r="V22" s="84"/>
      <c r="W22" s="84"/>
      <c r="X22" s="84"/>
      <c r="Y22" s="84"/>
      <c r="Z22" s="85"/>
      <c r="AA22" s="84"/>
    </row>
    <row r="23" spans="2:27" ht="43.5" customHeight="1" hidden="1">
      <c r="B23" s="39" t="s">
        <v>41</v>
      </c>
      <c r="C23" s="40"/>
      <c r="D23" s="68"/>
      <c r="E23" s="68"/>
      <c r="F23" s="41"/>
      <c r="G23" s="27">
        <v>0</v>
      </c>
      <c r="H23" s="27"/>
      <c r="I23" s="43">
        <v>0</v>
      </c>
      <c r="J23" s="68"/>
      <c r="K23" s="68"/>
      <c r="L23" s="68"/>
      <c r="M23" s="68"/>
      <c r="N23" s="68"/>
      <c r="O23" s="11" t="e">
        <f t="shared" si="1"/>
        <v>#DIV/0!</v>
      </c>
      <c r="P23" s="68"/>
      <c r="Q23" s="41"/>
      <c r="R23" s="84"/>
      <c r="S23" s="84"/>
      <c r="T23" s="84"/>
      <c r="U23" s="84"/>
      <c r="V23" s="84"/>
      <c r="W23" s="84"/>
      <c r="X23" s="84"/>
      <c r="Y23" s="84"/>
      <c r="Z23" s="85"/>
      <c r="AA23" s="84"/>
    </row>
    <row r="24" spans="2:27" ht="24" customHeight="1" thickBot="1" thickTop="1">
      <c r="B24" s="39" t="s">
        <v>42</v>
      </c>
      <c r="C24" s="40"/>
      <c r="D24" s="68"/>
      <c r="E24" s="68"/>
      <c r="F24" s="41"/>
      <c r="G24" s="27">
        <v>0</v>
      </c>
      <c r="H24" s="27">
        <v>530000</v>
      </c>
      <c r="I24" s="43">
        <v>530000</v>
      </c>
      <c r="J24" s="68">
        <v>110000</v>
      </c>
      <c r="K24" s="68">
        <v>245000</v>
      </c>
      <c r="L24" s="68">
        <v>131000</v>
      </c>
      <c r="M24" s="68"/>
      <c r="N24" s="68"/>
      <c r="O24" s="11"/>
      <c r="P24" s="68">
        <v>0</v>
      </c>
      <c r="Q24" s="41"/>
      <c r="R24" s="84">
        <v>0</v>
      </c>
      <c r="S24" s="84"/>
      <c r="T24" s="84"/>
      <c r="U24" s="84"/>
      <c r="V24" s="84"/>
      <c r="W24" s="84"/>
      <c r="X24" s="84"/>
      <c r="Y24" s="84"/>
      <c r="Z24" s="85"/>
      <c r="AA24" s="84"/>
    </row>
    <row r="25" spans="2:27" ht="28.5" customHeight="1" hidden="1">
      <c r="B25" s="39" t="s">
        <v>43</v>
      </c>
      <c r="C25" s="40"/>
      <c r="D25" s="68"/>
      <c r="E25" s="68"/>
      <c r="F25" s="41"/>
      <c r="G25" s="27">
        <v>0</v>
      </c>
      <c r="H25" s="27"/>
      <c r="I25" s="43">
        <v>0</v>
      </c>
      <c r="J25" s="68"/>
      <c r="K25" s="68"/>
      <c r="L25" s="68"/>
      <c r="M25" s="68"/>
      <c r="N25" s="68"/>
      <c r="O25" s="11" t="e">
        <f t="shared" si="1"/>
        <v>#DIV/0!</v>
      </c>
      <c r="P25" s="68"/>
      <c r="Q25" s="41"/>
      <c r="R25" s="84"/>
      <c r="S25" s="84"/>
      <c r="T25" s="84"/>
      <c r="U25" s="84"/>
      <c r="V25" s="84"/>
      <c r="W25" s="84"/>
      <c r="X25" s="84"/>
      <c r="Y25" s="84"/>
      <c r="Z25" s="85"/>
      <c r="AA25" s="84"/>
    </row>
    <row r="26" spans="2:27" ht="27" customHeight="1" hidden="1">
      <c r="B26" s="39" t="s">
        <v>44</v>
      </c>
      <c r="C26" s="40"/>
      <c r="D26" s="68"/>
      <c r="E26" s="68"/>
      <c r="F26" s="41"/>
      <c r="G26" s="27">
        <v>0</v>
      </c>
      <c r="H26" s="27"/>
      <c r="I26" s="87">
        <v>0</v>
      </c>
      <c r="J26" s="53"/>
      <c r="K26" s="53"/>
      <c r="L26" s="53"/>
      <c r="M26" s="53"/>
      <c r="N26" s="53"/>
      <c r="O26" s="11" t="e">
        <f t="shared" si="1"/>
        <v>#DIV/0!</v>
      </c>
      <c r="P26" s="53"/>
      <c r="Q26" s="55"/>
      <c r="R26" s="88"/>
      <c r="S26" s="88"/>
      <c r="T26" s="88"/>
      <c r="U26" s="84"/>
      <c r="V26" s="84"/>
      <c r="W26" s="84"/>
      <c r="X26" s="84"/>
      <c r="Y26" s="84"/>
      <c r="Z26" s="85"/>
      <c r="AA26" s="84"/>
    </row>
    <row r="27" spans="2:27" ht="23.25" customHeight="1" thickBot="1" thickTop="1">
      <c r="B27" s="39" t="s">
        <v>45</v>
      </c>
      <c r="C27" s="40">
        <v>1474476.87</v>
      </c>
      <c r="D27" s="68">
        <v>638250.01</v>
      </c>
      <c r="E27" s="68">
        <v>265888.65</v>
      </c>
      <c r="F27" s="41"/>
      <c r="G27" s="30">
        <f>E61+E52</f>
        <v>13876.929999999702</v>
      </c>
      <c r="H27" s="30">
        <v>128056.56</v>
      </c>
      <c r="I27" s="89">
        <f>G61+G52</f>
        <v>128056.55999999866</v>
      </c>
      <c r="J27" s="89">
        <v>128056.56</v>
      </c>
      <c r="K27" s="89">
        <v>236821.33</v>
      </c>
      <c r="L27" s="30">
        <f>J61+J52</f>
        <v>236821.3299999982</v>
      </c>
      <c r="M27" s="30">
        <v>531642.34</v>
      </c>
      <c r="N27" s="30">
        <v>531642.34</v>
      </c>
      <c r="O27" s="11">
        <f t="shared" si="1"/>
        <v>100</v>
      </c>
      <c r="P27" s="30">
        <f>M62</f>
        <v>0.48999999091029167</v>
      </c>
      <c r="Q27" s="30">
        <f aca="true" t="shared" si="6" ref="Q27:AA27">P62</f>
        <v>0.48999999463558197</v>
      </c>
      <c r="R27" s="30">
        <f t="shared" si="6"/>
        <v>0.4899999927729368</v>
      </c>
      <c r="S27" s="30">
        <f t="shared" si="6"/>
        <v>0.48999999463558197</v>
      </c>
      <c r="T27" s="30">
        <f t="shared" si="6"/>
        <v>0.4899999927729368</v>
      </c>
      <c r="U27" s="30">
        <f t="shared" si="6"/>
        <v>0.4899999927729368</v>
      </c>
      <c r="V27" s="30">
        <f t="shared" si="6"/>
        <v>0.4899999927729368</v>
      </c>
      <c r="W27" s="30">
        <f t="shared" si="6"/>
        <v>0.4899999927729368</v>
      </c>
      <c r="X27" s="30">
        <f t="shared" si="6"/>
        <v>0.4899999927729368</v>
      </c>
      <c r="Y27" s="30">
        <f t="shared" si="6"/>
        <v>0.4899999927729368</v>
      </c>
      <c r="Z27" s="65">
        <f t="shared" si="6"/>
        <v>0.4899999941699207</v>
      </c>
      <c r="AA27" s="65">
        <f t="shared" si="6"/>
        <v>0.48999999463558197</v>
      </c>
    </row>
    <row r="28" spans="2:27" ht="21.75" customHeight="1" hidden="1" thickBot="1">
      <c r="B28" s="47" t="s">
        <v>46</v>
      </c>
      <c r="C28" s="90"/>
      <c r="D28" s="53"/>
      <c r="E28" s="53"/>
      <c r="F28" s="55"/>
      <c r="G28" s="27"/>
      <c r="H28" s="27"/>
      <c r="I28" s="21"/>
      <c r="J28" s="17"/>
      <c r="K28" s="17"/>
      <c r="L28" s="17"/>
      <c r="M28" s="17"/>
      <c r="N28" s="17"/>
      <c r="O28" s="11" t="e">
        <f t="shared" si="1"/>
        <v>#DIV/0!</v>
      </c>
      <c r="P28" s="17"/>
      <c r="Q28" s="56"/>
      <c r="R28" s="91"/>
      <c r="S28" s="91"/>
      <c r="T28" s="91"/>
      <c r="U28" s="84"/>
      <c r="V28" s="84"/>
      <c r="W28" s="84"/>
      <c r="X28" s="84"/>
      <c r="Y28" s="84"/>
      <c r="Z28" s="85"/>
      <c r="AA28" s="84"/>
    </row>
    <row r="29" spans="2:29" ht="24.75" customHeight="1" thickBot="1" thickTop="1">
      <c r="B29" s="75" t="s">
        <v>47</v>
      </c>
      <c r="C29" s="76">
        <f aca="true" t="shared" si="7" ref="C29:AA29">C30+C33+C35+C36</f>
        <v>4007145.67</v>
      </c>
      <c r="D29" s="76">
        <f t="shared" si="7"/>
        <v>796671.23</v>
      </c>
      <c r="E29" s="76">
        <f t="shared" si="7"/>
        <v>751159</v>
      </c>
      <c r="F29" s="77">
        <f t="shared" si="7"/>
        <v>1905960.28</v>
      </c>
      <c r="G29" s="13">
        <f t="shared" si="7"/>
        <v>1672376.42</v>
      </c>
      <c r="H29" s="13">
        <f t="shared" si="7"/>
        <v>2340391.13</v>
      </c>
      <c r="I29" s="78">
        <f t="shared" si="7"/>
        <v>2340391.13</v>
      </c>
      <c r="J29" s="76">
        <f t="shared" si="7"/>
        <v>2229178.5700000003</v>
      </c>
      <c r="K29" s="76">
        <f t="shared" si="7"/>
        <v>1981673.57</v>
      </c>
      <c r="L29" s="76">
        <f t="shared" si="7"/>
        <v>1981673.57</v>
      </c>
      <c r="M29" s="92">
        <f t="shared" si="7"/>
        <v>3155679.89</v>
      </c>
      <c r="N29" s="92">
        <f t="shared" si="7"/>
        <v>1994892.18</v>
      </c>
      <c r="O29" s="11">
        <f t="shared" si="1"/>
        <v>63.215923336254484</v>
      </c>
      <c r="P29" s="92">
        <f t="shared" si="7"/>
        <v>1200091.31</v>
      </c>
      <c r="Q29" s="93">
        <f t="shared" si="7"/>
        <v>1780697.56</v>
      </c>
      <c r="R29" s="77">
        <f t="shared" si="7"/>
        <v>1528497.94</v>
      </c>
      <c r="S29" s="77">
        <f t="shared" si="7"/>
        <v>1835810.08</v>
      </c>
      <c r="T29" s="77">
        <f t="shared" si="7"/>
        <v>2390000</v>
      </c>
      <c r="U29" s="77">
        <f t="shared" si="7"/>
        <v>2350000</v>
      </c>
      <c r="V29" s="77">
        <f t="shared" si="7"/>
        <v>2250000</v>
      </c>
      <c r="W29" s="77">
        <f t="shared" si="7"/>
        <v>2000000</v>
      </c>
      <c r="X29" s="77">
        <f t="shared" si="7"/>
        <v>1434600</v>
      </c>
      <c r="Y29" s="77">
        <f t="shared" si="7"/>
        <v>1227788.19</v>
      </c>
      <c r="Z29" s="77">
        <f t="shared" si="7"/>
        <v>1238371.45</v>
      </c>
      <c r="AA29" s="77">
        <f t="shared" si="7"/>
        <v>0</v>
      </c>
      <c r="AC29" s="94">
        <v>19413524.21</v>
      </c>
    </row>
    <row r="30" spans="2:30" ht="27.75" customHeight="1" thickBot="1" thickTop="1">
      <c r="B30" s="31" t="s">
        <v>48</v>
      </c>
      <c r="C30" s="32">
        <v>4007145.67</v>
      </c>
      <c r="D30" s="44">
        <v>796671.23</v>
      </c>
      <c r="E30" s="44">
        <v>751159</v>
      </c>
      <c r="F30" s="33">
        <v>1905960.28</v>
      </c>
      <c r="G30" s="27">
        <v>1672376.42</v>
      </c>
      <c r="H30" s="27">
        <v>1682334.57</v>
      </c>
      <c r="I30" s="95">
        <v>1682334.57</v>
      </c>
      <c r="J30" s="96">
        <v>1774178.57</v>
      </c>
      <c r="K30" s="97">
        <v>1736673.57</v>
      </c>
      <c r="L30" s="98">
        <v>1736673.57</v>
      </c>
      <c r="M30" s="99">
        <v>3155679.89</v>
      </c>
      <c r="N30" s="99">
        <v>1994892.18</v>
      </c>
      <c r="O30" s="11">
        <f t="shared" si="1"/>
        <v>63.215923336254484</v>
      </c>
      <c r="P30" s="99">
        <v>1200091.31</v>
      </c>
      <c r="Q30" s="99">
        <v>1780697.56</v>
      </c>
      <c r="R30" s="100">
        <v>1528497.94</v>
      </c>
      <c r="S30" s="100">
        <v>1835810.08</v>
      </c>
      <c r="T30" s="100">
        <v>2390000</v>
      </c>
      <c r="U30" s="100">
        <v>2350000</v>
      </c>
      <c r="V30" s="100">
        <v>2250000</v>
      </c>
      <c r="W30" s="100">
        <v>2000000</v>
      </c>
      <c r="X30" s="100">
        <v>1434600</v>
      </c>
      <c r="Y30" s="100">
        <v>1227788.19</v>
      </c>
      <c r="Z30" s="101">
        <v>1238371.45</v>
      </c>
      <c r="AA30" s="101">
        <v>0</v>
      </c>
      <c r="AB30" s="94">
        <f>SUM(M30:AA30)</f>
        <v>24386491.815923337</v>
      </c>
      <c r="AC30" s="94">
        <f>P30+Q30+R30+S30+T30+U30+V30+W30+X30+Y30+Z30</f>
        <v>19235856.53</v>
      </c>
      <c r="AD30" s="94">
        <f>AB30-AC30</f>
        <v>5150635.285923336</v>
      </c>
    </row>
    <row r="31" spans="2:30" ht="12.75" customHeight="1" thickBot="1" thickTop="1">
      <c r="B31" s="31"/>
      <c r="C31" s="32"/>
      <c r="D31" s="44"/>
      <c r="E31" s="44"/>
      <c r="F31" s="33"/>
      <c r="G31" s="27"/>
      <c r="H31" s="27"/>
      <c r="I31" s="102"/>
      <c r="J31" s="102"/>
      <c r="K31" s="29"/>
      <c r="L31" s="102"/>
      <c r="M31" s="103"/>
      <c r="N31" s="103"/>
      <c r="O31" s="11"/>
      <c r="P31" s="103"/>
      <c r="Q31" s="103"/>
      <c r="R31" s="100"/>
      <c r="S31" s="100"/>
      <c r="T31" s="100"/>
      <c r="U31" s="100"/>
      <c r="V31" s="100"/>
      <c r="W31" s="100"/>
      <c r="X31" s="100"/>
      <c r="Y31" s="100"/>
      <c r="Z31" s="101"/>
      <c r="AA31" s="104"/>
      <c r="AB31" s="94"/>
      <c r="AC31" s="94"/>
      <c r="AD31" s="94"/>
    </row>
    <row r="32" spans="2:30" ht="45" customHeight="1" thickBot="1" thickTop="1">
      <c r="B32" s="39" t="s">
        <v>49</v>
      </c>
      <c r="C32" s="40">
        <v>3755189.42</v>
      </c>
      <c r="D32" s="68">
        <v>500592.63</v>
      </c>
      <c r="E32" s="68"/>
      <c r="F32" s="41">
        <v>245250</v>
      </c>
      <c r="G32" s="27">
        <v>245250</v>
      </c>
      <c r="H32" s="27">
        <v>266928.87</v>
      </c>
      <c r="I32" s="43">
        <v>266928.87</v>
      </c>
      <c r="J32" s="41">
        <v>265595.31</v>
      </c>
      <c r="K32" s="27"/>
      <c r="L32" s="105"/>
      <c r="M32" s="27">
        <v>891305.18</v>
      </c>
      <c r="N32" s="27">
        <v>891305.18</v>
      </c>
      <c r="O32" s="11">
        <f t="shared" si="1"/>
        <v>100</v>
      </c>
      <c r="P32" s="27">
        <v>1100878.57</v>
      </c>
      <c r="Q32" s="27">
        <v>1058964.56</v>
      </c>
      <c r="R32" s="30">
        <v>740600</v>
      </c>
      <c r="S32" s="30">
        <v>740000</v>
      </c>
      <c r="T32" s="30">
        <v>566070.97</v>
      </c>
      <c r="U32" s="30">
        <v>400698.62</v>
      </c>
      <c r="V32" s="30">
        <v>400401.3</v>
      </c>
      <c r="W32" s="30">
        <v>300000</v>
      </c>
      <c r="X32" s="30">
        <v>270000</v>
      </c>
      <c r="Y32" s="30">
        <v>170000</v>
      </c>
      <c r="Z32" s="106">
        <v>130000</v>
      </c>
      <c r="AA32" s="107"/>
      <c r="AB32" s="94">
        <f>SUM(M32:Z32)</f>
        <v>7660324.38</v>
      </c>
      <c r="AC32" s="94">
        <f>P32+Q32+R32+S32+T32+U32+V32+W32+X32+Y32+Z32</f>
        <v>5877614.02</v>
      </c>
      <c r="AD32" s="108">
        <f>AB32-AC32</f>
        <v>1782710.3600000003</v>
      </c>
    </row>
    <row r="33" spans="2:27" ht="33.75" customHeight="1" hidden="1">
      <c r="B33" s="39" t="s">
        <v>50</v>
      </c>
      <c r="C33" s="40"/>
      <c r="D33" s="68"/>
      <c r="E33" s="68"/>
      <c r="F33" s="41"/>
      <c r="G33" s="27"/>
      <c r="H33" s="27"/>
      <c r="I33" s="43"/>
      <c r="J33" s="68"/>
      <c r="K33" s="44"/>
      <c r="L33" s="44"/>
      <c r="M33" s="44"/>
      <c r="N33" s="44"/>
      <c r="O33" s="11" t="e">
        <f t="shared" si="1"/>
        <v>#DIV/0!</v>
      </c>
      <c r="P33" s="44"/>
      <c r="Q33" s="33"/>
      <c r="R33" s="84"/>
      <c r="S33" s="84"/>
      <c r="T33" s="84"/>
      <c r="U33" s="84"/>
      <c r="V33" s="84"/>
      <c r="W33" s="84"/>
      <c r="X33" s="84"/>
      <c r="Y33" s="84"/>
      <c r="Z33" s="85"/>
      <c r="AA33" s="84"/>
    </row>
    <row r="34" spans="2:27" ht="76.5" customHeight="1" hidden="1">
      <c r="B34" s="39" t="s">
        <v>51</v>
      </c>
      <c r="C34" s="40"/>
      <c r="D34" s="68"/>
      <c r="E34" s="68"/>
      <c r="F34" s="41"/>
      <c r="G34" s="27"/>
      <c r="H34" s="27"/>
      <c r="I34" s="43"/>
      <c r="J34" s="68"/>
      <c r="K34" s="68"/>
      <c r="L34" s="68"/>
      <c r="M34" s="68"/>
      <c r="N34" s="68"/>
      <c r="O34" s="11" t="e">
        <f t="shared" si="1"/>
        <v>#DIV/0!</v>
      </c>
      <c r="P34" s="68"/>
      <c r="Q34" s="41"/>
      <c r="R34" s="84"/>
      <c r="S34" s="84"/>
      <c r="T34" s="84"/>
      <c r="U34" s="84"/>
      <c r="V34" s="84"/>
      <c r="W34" s="84"/>
      <c r="X34" s="84"/>
      <c r="Y34" s="84"/>
      <c r="Z34" s="85"/>
      <c r="AA34" s="84"/>
    </row>
    <row r="35" spans="2:29" ht="23.25" customHeight="1" thickBot="1" thickTop="1">
      <c r="B35" s="39" t="s">
        <v>52</v>
      </c>
      <c r="C35" s="40"/>
      <c r="D35" s="68"/>
      <c r="E35" s="68"/>
      <c r="F35" s="41"/>
      <c r="G35" s="27">
        <v>0</v>
      </c>
      <c r="H35" s="27">
        <v>658056.56</v>
      </c>
      <c r="I35" s="43">
        <v>658056.56</v>
      </c>
      <c r="J35" s="68">
        <v>455000</v>
      </c>
      <c r="K35" s="68">
        <v>245000</v>
      </c>
      <c r="L35" s="68">
        <v>245000</v>
      </c>
      <c r="M35" s="68">
        <v>0</v>
      </c>
      <c r="N35" s="68">
        <v>0</v>
      </c>
      <c r="O35" s="11"/>
      <c r="P35" s="68"/>
      <c r="Q35" s="41"/>
      <c r="R35" s="84"/>
      <c r="S35" s="84"/>
      <c r="T35" s="84"/>
      <c r="U35" s="84"/>
      <c r="V35" s="84"/>
      <c r="W35" s="84"/>
      <c r="X35" s="84"/>
      <c r="Y35" s="84"/>
      <c r="Z35" s="85"/>
      <c r="AA35" s="84"/>
      <c r="AC35" s="109">
        <v>5490290.48</v>
      </c>
    </row>
    <row r="36" spans="2:27" ht="35.25" customHeight="1" hidden="1" thickBot="1">
      <c r="B36" s="67" t="s">
        <v>53</v>
      </c>
      <c r="C36" s="48"/>
      <c r="D36" s="49"/>
      <c r="E36" s="49"/>
      <c r="F36" s="69"/>
      <c r="G36" s="27"/>
      <c r="H36" s="27"/>
      <c r="I36" s="52"/>
      <c r="J36" s="49"/>
      <c r="K36" s="49"/>
      <c r="L36" s="49"/>
      <c r="M36" s="49"/>
      <c r="N36" s="49"/>
      <c r="O36" s="11"/>
      <c r="P36" s="49"/>
      <c r="Q36" s="69"/>
      <c r="R36" s="84"/>
      <c r="S36" s="84"/>
      <c r="T36" s="84"/>
      <c r="U36" s="84"/>
      <c r="V36" s="84"/>
      <c r="W36" s="84"/>
      <c r="X36" s="84"/>
      <c r="Y36" s="84"/>
      <c r="Z36" s="85"/>
      <c r="AA36" s="84"/>
    </row>
    <row r="37" spans="2:27" ht="18.75" customHeight="1" thickBot="1" thickTop="1">
      <c r="B37" s="110" t="s">
        <v>54</v>
      </c>
      <c r="C37" s="111"/>
      <c r="D37" s="112"/>
      <c r="E37" s="112"/>
      <c r="F37" s="113"/>
      <c r="G37" s="114"/>
      <c r="H37" s="114"/>
      <c r="I37" s="115"/>
      <c r="J37" s="112"/>
      <c r="K37" s="116"/>
      <c r="L37" s="116"/>
      <c r="M37" s="112"/>
      <c r="N37" s="112"/>
      <c r="O37" s="11"/>
      <c r="P37" s="112"/>
      <c r="Q37" s="113"/>
      <c r="R37" s="84"/>
      <c r="S37" s="84"/>
      <c r="T37" s="84"/>
      <c r="U37" s="84"/>
      <c r="V37" s="84"/>
      <c r="W37" s="84"/>
      <c r="X37" s="84"/>
      <c r="Y37" s="84"/>
      <c r="Z37" s="85"/>
      <c r="AA37" s="84"/>
    </row>
    <row r="38" spans="2:28" ht="25.5" customHeight="1" thickBot="1">
      <c r="B38" s="70" t="s">
        <v>55</v>
      </c>
      <c r="C38" s="117">
        <f aca="true" t="shared" si="8" ref="C38:Z38">C39</f>
        <v>0</v>
      </c>
      <c r="D38" s="117">
        <f t="shared" si="8"/>
        <v>0</v>
      </c>
      <c r="E38" s="117">
        <f t="shared" si="8"/>
        <v>0</v>
      </c>
      <c r="F38" s="118">
        <f t="shared" si="8"/>
        <v>0</v>
      </c>
      <c r="G38" s="119">
        <f t="shared" si="8"/>
        <v>0</v>
      </c>
      <c r="H38" s="119">
        <f t="shared" si="8"/>
        <v>0</v>
      </c>
      <c r="I38" s="117">
        <f t="shared" si="8"/>
        <v>0</v>
      </c>
      <c r="J38" s="119">
        <f t="shared" si="8"/>
        <v>0</v>
      </c>
      <c r="K38" s="119">
        <f t="shared" si="8"/>
        <v>0</v>
      </c>
      <c r="L38" s="119">
        <f t="shared" si="8"/>
        <v>0</v>
      </c>
      <c r="M38" s="117">
        <f t="shared" si="8"/>
        <v>35000</v>
      </c>
      <c r="N38" s="117">
        <f t="shared" si="8"/>
        <v>0</v>
      </c>
      <c r="O38" s="11">
        <f t="shared" si="1"/>
        <v>0</v>
      </c>
      <c r="P38" s="117">
        <f t="shared" si="8"/>
        <v>60000</v>
      </c>
      <c r="Q38" s="117">
        <f t="shared" si="8"/>
        <v>83000</v>
      </c>
      <c r="R38" s="117">
        <f t="shared" si="8"/>
        <v>157000</v>
      </c>
      <c r="S38" s="117">
        <f t="shared" si="8"/>
        <v>131000</v>
      </c>
      <c r="T38" s="117">
        <f t="shared" si="8"/>
        <v>0</v>
      </c>
      <c r="U38" s="117">
        <f t="shared" si="8"/>
        <v>0</v>
      </c>
      <c r="V38" s="117">
        <f t="shared" si="8"/>
        <v>0</v>
      </c>
      <c r="W38" s="117">
        <f t="shared" si="8"/>
        <v>0</v>
      </c>
      <c r="X38" s="117">
        <f t="shared" si="8"/>
        <v>0</v>
      </c>
      <c r="Y38" s="117">
        <f t="shared" si="8"/>
        <v>0</v>
      </c>
      <c r="Z38" s="118">
        <f t="shared" si="8"/>
        <v>0</v>
      </c>
      <c r="AA38" s="119"/>
      <c r="AB38" s="117">
        <f>AB39</f>
        <v>466000</v>
      </c>
    </row>
    <row r="39" spans="2:28" ht="63.75" customHeight="1" thickBot="1" thickTop="1">
      <c r="B39" s="25" t="s">
        <v>56</v>
      </c>
      <c r="C39" s="120"/>
      <c r="D39" s="121"/>
      <c r="E39" s="121"/>
      <c r="F39" s="122"/>
      <c r="G39" s="114"/>
      <c r="H39" s="114"/>
      <c r="I39" s="123"/>
      <c r="J39" s="124"/>
      <c r="K39" s="114"/>
      <c r="L39" s="114">
        <v>0</v>
      </c>
      <c r="M39" s="125">
        <v>35000</v>
      </c>
      <c r="N39" s="125">
        <v>0</v>
      </c>
      <c r="O39" s="11">
        <f>N39/M39*100</f>
        <v>0</v>
      </c>
      <c r="P39" s="121">
        <v>60000</v>
      </c>
      <c r="Q39" s="126">
        <v>83000</v>
      </c>
      <c r="R39" s="30">
        <v>157000</v>
      </c>
      <c r="S39" s="30">
        <v>131000</v>
      </c>
      <c r="T39" s="30"/>
      <c r="U39" s="30"/>
      <c r="V39" s="30"/>
      <c r="W39" s="30"/>
      <c r="X39" s="30"/>
      <c r="Y39" s="30"/>
      <c r="Z39" s="127"/>
      <c r="AA39" s="128"/>
      <c r="AB39" s="129">
        <f>SUM(L39:Z39)</f>
        <v>466000</v>
      </c>
    </row>
    <row r="40" spans="2:27" ht="91.5" customHeight="1" hidden="1" thickBot="1">
      <c r="B40" s="15" t="s">
        <v>57</v>
      </c>
      <c r="C40" s="130"/>
      <c r="D40" s="131"/>
      <c r="E40" s="131"/>
      <c r="F40" s="132"/>
      <c r="G40" s="114"/>
      <c r="H40" s="114"/>
      <c r="I40" s="133"/>
      <c r="J40" s="134"/>
      <c r="K40" s="134"/>
      <c r="L40" s="134"/>
      <c r="M40" s="131"/>
      <c r="N40" s="131"/>
      <c r="O40" s="11" t="e">
        <f t="shared" si="1"/>
        <v>#DIV/0!</v>
      </c>
      <c r="P40" s="131"/>
      <c r="Q40" s="132"/>
      <c r="R40" s="84"/>
      <c r="S40" s="84"/>
      <c r="T40" s="84"/>
      <c r="U40" s="84"/>
      <c r="V40" s="84"/>
      <c r="W40" s="84"/>
      <c r="X40" s="84"/>
      <c r="Y40" s="84"/>
      <c r="Z40" s="85"/>
      <c r="AA40" s="84"/>
    </row>
    <row r="41" spans="2:27" ht="60.75" customHeight="1" thickBot="1" thickTop="1">
      <c r="B41" s="75" t="s">
        <v>58</v>
      </c>
      <c r="C41" s="76">
        <f aca="true" t="shared" si="9" ref="C41:AA41">C42+C43+C44+C45+C46+C47</f>
        <v>315375.95</v>
      </c>
      <c r="D41" s="76">
        <f t="shared" si="9"/>
        <v>376206.77999999997</v>
      </c>
      <c r="E41" s="76">
        <f t="shared" si="9"/>
        <v>985967.04</v>
      </c>
      <c r="F41" s="77">
        <f t="shared" si="9"/>
        <v>1960710.28</v>
      </c>
      <c r="G41" s="13">
        <f t="shared" si="9"/>
        <v>1770563.0299999998</v>
      </c>
      <c r="H41" s="13">
        <f t="shared" si="9"/>
        <v>1972105.7000000002</v>
      </c>
      <c r="I41" s="78">
        <f t="shared" si="9"/>
        <v>1992105.7000000002</v>
      </c>
      <c r="J41" s="76">
        <f t="shared" si="9"/>
        <v>2120290.1</v>
      </c>
      <c r="K41" s="76">
        <f t="shared" si="9"/>
        <v>2586673.5700000003</v>
      </c>
      <c r="L41" s="76">
        <f t="shared" si="9"/>
        <v>2594052.95</v>
      </c>
      <c r="M41" s="92">
        <f t="shared" si="9"/>
        <v>3472074.71</v>
      </c>
      <c r="N41" s="92">
        <f t="shared" si="9"/>
        <v>1926889.2799999998</v>
      </c>
      <c r="O41" s="11">
        <f t="shared" si="1"/>
        <v>55.49676896209414</v>
      </c>
      <c r="P41" s="92">
        <f t="shared" si="9"/>
        <v>759212.74</v>
      </c>
      <c r="Q41" s="92">
        <f t="shared" si="9"/>
        <v>1254733</v>
      </c>
      <c r="R41" s="92">
        <f t="shared" si="9"/>
        <v>1444897.94</v>
      </c>
      <c r="S41" s="92">
        <f t="shared" si="9"/>
        <v>1676810.08</v>
      </c>
      <c r="T41" s="92">
        <f t="shared" si="9"/>
        <v>2173929.0300000003</v>
      </c>
      <c r="U41" s="92">
        <f t="shared" si="9"/>
        <v>2199301.38</v>
      </c>
      <c r="V41" s="92">
        <f t="shared" si="9"/>
        <v>2049598.7</v>
      </c>
      <c r="W41" s="92">
        <f t="shared" si="9"/>
        <v>1850000</v>
      </c>
      <c r="X41" s="92">
        <f t="shared" si="9"/>
        <v>1284600</v>
      </c>
      <c r="Y41" s="92">
        <f t="shared" si="9"/>
        <v>1157788.19</v>
      </c>
      <c r="Z41" s="93">
        <f t="shared" si="9"/>
        <v>1158371.45</v>
      </c>
      <c r="AA41" s="93">
        <f t="shared" si="9"/>
        <v>20000</v>
      </c>
    </row>
    <row r="42" spans="2:29" ht="30.75" customHeight="1" thickBot="1" thickTop="1">
      <c r="B42" s="31" t="s">
        <v>59</v>
      </c>
      <c r="C42" s="80">
        <f aca="true" t="shared" si="10" ref="C42:L42">C30-C32</f>
        <v>251956.25</v>
      </c>
      <c r="D42" s="80">
        <f t="shared" si="10"/>
        <v>296078.6</v>
      </c>
      <c r="E42" s="80">
        <f t="shared" si="10"/>
        <v>751159</v>
      </c>
      <c r="F42" s="81">
        <f t="shared" si="10"/>
        <v>1660710.28</v>
      </c>
      <c r="G42" s="13">
        <f t="shared" si="10"/>
        <v>1427126.42</v>
      </c>
      <c r="H42" s="13">
        <f t="shared" si="10"/>
        <v>1415405.7000000002</v>
      </c>
      <c r="I42" s="82">
        <f t="shared" si="10"/>
        <v>1415405.7000000002</v>
      </c>
      <c r="J42" s="80">
        <f t="shared" si="10"/>
        <v>1508583.26</v>
      </c>
      <c r="K42" s="80">
        <f t="shared" si="10"/>
        <v>1736673.57</v>
      </c>
      <c r="L42" s="81">
        <f t="shared" si="10"/>
        <v>1736673.57</v>
      </c>
      <c r="M42" s="13">
        <v>2557074.71</v>
      </c>
      <c r="N42" s="13">
        <v>1515238.14</v>
      </c>
      <c r="O42" s="11">
        <f t="shared" si="1"/>
        <v>59.25670196785138</v>
      </c>
      <c r="P42" s="13">
        <f aca="true" t="shared" si="11" ref="P42:AA42">P30-P32</f>
        <v>99212.73999999999</v>
      </c>
      <c r="Q42" s="13">
        <f t="shared" si="11"/>
        <v>721733</v>
      </c>
      <c r="R42" s="13">
        <f t="shared" si="11"/>
        <v>787897.94</v>
      </c>
      <c r="S42" s="13">
        <f t="shared" si="11"/>
        <v>1095810.08</v>
      </c>
      <c r="T42" s="13">
        <f t="shared" si="11"/>
        <v>1823929.03</v>
      </c>
      <c r="U42" s="13">
        <f t="shared" si="11"/>
        <v>1949301.38</v>
      </c>
      <c r="V42" s="13">
        <f t="shared" si="11"/>
        <v>1849598.7</v>
      </c>
      <c r="W42" s="13">
        <f t="shared" si="11"/>
        <v>1700000</v>
      </c>
      <c r="X42" s="13">
        <f t="shared" si="11"/>
        <v>1164600</v>
      </c>
      <c r="Y42" s="13">
        <f t="shared" si="11"/>
        <v>1057788.19</v>
      </c>
      <c r="Z42" s="74">
        <f t="shared" si="11"/>
        <v>1108371.45</v>
      </c>
      <c r="AA42" s="74">
        <f t="shared" si="11"/>
        <v>0</v>
      </c>
      <c r="AB42" s="135">
        <f>SUM(M42:Z42)</f>
        <v>17430614.616701968</v>
      </c>
      <c r="AC42" s="108">
        <f>AB42-M42</f>
        <v>14873539.906701967</v>
      </c>
    </row>
    <row r="43" spans="2:28" ht="28.5" customHeight="1" thickBot="1" thickTop="1">
      <c r="B43" s="39" t="s">
        <v>60</v>
      </c>
      <c r="C43" s="40">
        <v>63419.7</v>
      </c>
      <c r="D43" s="68">
        <v>80128.18</v>
      </c>
      <c r="E43" s="68">
        <v>234808.04</v>
      </c>
      <c r="F43" s="41">
        <v>300000</v>
      </c>
      <c r="G43" s="27">
        <v>343436.61</v>
      </c>
      <c r="H43" s="27">
        <v>556700</v>
      </c>
      <c r="I43" s="43">
        <v>576700</v>
      </c>
      <c r="J43" s="68">
        <v>611706.84</v>
      </c>
      <c r="K43" s="68">
        <v>850000</v>
      </c>
      <c r="L43" s="68">
        <v>857379.38</v>
      </c>
      <c r="M43" s="44">
        <v>880000</v>
      </c>
      <c r="N43" s="44">
        <v>411651.14</v>
      </c>
      <c r="O43" s="11">
        <f t="shared" si="1"/>
        <v>46.778538636363635</v>
      </c>
      <c r="P43" s="44">
        <v>600000</v>
      </c>
      <c r="Q43" s="33">
        <v>450000</v>
      </c>
      <c r="R43" s="38">
        <v>500000</v>
      </c>
      <c r="S43" s="38">
        <v>450000</v>
      </c>
      <c r="T43" s="38">
        <v>350000</v>
      </c>
      <c r="U43" s="38">
        <v>250000</v>
      </c>
      <c r="V43" s="38">
        <v>200000</v>
      </c>
      <c r="W43" s="38">
        <v>150000</v>
      </c>
      <c r="X43" s="38">
        <v>120000</v>
      </c>
      <c r="Y43" s="38">
        <v>100000</v>
      </c>
      <c r="Z43" s="46">
        <v>50000</v>
      </c>
      <c r="AA43" s="30">
        <v>20000</v>
      </c>
      <c r="AB43" s="135">
        <f>SUM(M43:Z43)</f>
        <v>4511697.9185386365</v>
      </c>
    </row>
    <row r="44" spans="2:27" ht="34.5" customHeight="1" hidden="1">
      <c r="B44" s="39" t="s">
        <v>61</v>
      </c>
      <c r="C44" s="136"/>
      <c r="D44" s="136"/>
      <c r="E44" s="136"/>
      <c r="F44" s="137"/>
      <c r="G44" s="13"/>
      <c r="H44" s="13"/>
      <c r="I44" s="138"/>
      <c r="J44" s="136"/>
      <c r="K44" s="136"/>
      <c r="L44" s="136"/>
      <c r="M44" s="136"/>
      <c r="N44" s="136"/>
      <c r="O44" s="11" t="e">
        <f>N44/M44*100</f>
        <v>#DIV/0!</v>
      </c>
      <c r="P44" s="136"/>
      <c r="Q44" s="137"/>
      <c r="R44" s="84"/>
      <c r="S44" s="84"/>
      <c r="T44" s="84"/>
      <c r="U44" s="84"/>
      <c r="V44" s="84"/>
      <c r="W44" s="84"/>
      <c r="X44" s="84"/>
      <c r="Y44" s="84"/>
      <c r="Z44" s="85"/>
      <c r="AA44" s="84"/>
    </row>
    <row r="45" spans="2:27" ht="27.75" customHeight="1" hidden="1">
      <c r="B45" s="39" t="s">
        <v>62</v>
      </c>
      <c r="C45" s="40"/>
      <c r="D45" s="68"/>
      <c r="E45" s="68"/>
      <c r="F45" s="41"/>
      <c r="G45" s="27"/>
      <c r="H45" s="27"/>
      <c r="I45" s="43"/>
      <c r="J45" s="68"/>
      <c r="K45" s="68"/>
      <c r="L45" s="68"/>
      <c r="M45" s="68"/>
      <c r="N45" s="68"/>
      <c r="O45" s="11" t="e">
        <f t="shared" si="1"/>
        <v>#DIV/0!</v>
      </c>
      <c r="P45" s="68"/>
      <c r="Q45" s="41"/>
      <c r="R45" s="84"/>
      <c r="S45" s="84"/>
      <c r="T45" s="84"/>
      <c r="U45" s="84"/>
      <c r="V45" s="84"/>
      <c r="W45" s="84"/>
      <c r="X45" s="84"/>
      <c r="Y45" s="84"/>
      <c r="Z45" s="85"/>
      <c r="AA45" s="84"/>
    </row>
    <row r="46" spans="2:27" ht="55.5" customHeight="1" thickBot="1" thickTop="1">
      <c r="B46" s="39" t="s">
        <v>63</v>
      </c>
      <c r="C46" s="136"/>
      <c r="D46" s="136"/>
      <c r="E46" s="136"/>
      <c r="F46" s="137"/>
      <c r="G46" s="13">
        <f>G39-G40</f>
        <v>0</v>
      </c>
      <c r="H46" s="13"/>
      <c r="I46" s="138">
        <f>I39-I40</f>
        <v>0</v>
      </c>
      <c r="J46" s="136">
        <v>0</v>
      </c>
      <c r="K46" s="136"/>
      <c r="L46" s="136">
        <v>0</v>
      </c>
      <c r="M46" s="136">
        <f aca="true" t="shared" si="12" ref="M46:W46">M39-M40</f>
        <v>35000</v>
      </c>
      <c r="N46" s="136">
        <v>0</v>
      </c>
      <c r="O46" s="11">
        <f t="shared" si="1"/>
        <v>0</v>
      </c>
      <c r="P46" s="136">
        <f t="shared" si="12"/>
        <v>60000</v>
      </c>
      <c r="Q46" s="136">
        <f t="shared" si="12"/>
        <v>83000</v>
      </c>
      <c r="R46" s="136">
        <f t="shared" si="12"/>
        <v>157000</v>
      </c>
      <c r="S46" s="136">
        <f t="shared" si="12"/>
        <v>131000</v>
      </c>
      <c r="T46" s="136">
        <f t="shared" si="12"/>
        <v>0</v>
      </c>
      <c r="U46" s="136">
        <f t="shared" si="12"/>
        <v>0</v>
      </c>
      <c r="V46" s="136">
        <f t="shared" si="12"/>
        <v>0</v>
      </c>
      <c r="W46" s="136">
        <f t="shared" si="12"/>
        <v>0</v>
      </c>
      <c r="X46" s="139"/>
      <c r="Y46" s="139"/>
      <c r="Z46" s="85"/>
      <c r="AA46" s="84"/>
    </row>
    <row r="47" spans="2:27" ht="59.25" customHeight="1" hidden="1" thickBot="1">
      <c r="B47" s="67" t="s">
        <v>64</v>
      </c>
      <c r="C47" s="140"/>
      <c r="D47" s="141"/>
      <c r="E47" s="141"/>
      <c r="F47" s="142"/>
      <c r="G47" s="13"/>
      <c r="H47" s="13"/>
      <c r="I47" s="143"/>
      <c r="J47" s="141"/>
      <c r="K47" s="141"/>
      <c r="L47" s="141"/>
      <c r="M47" s="141"/>
      <c r="N47" s="141"/>
      <c r="O47" s="11" t="e">
        <f t="shared" si="1"/>
        <v>#DIV/0!</v>
      </c>
      <c r="P47" s="141"/>
      <c r="Q47" s="142"/>
      <c r="R47" s="84"/>
      <c r="S47" s="84"/>
      <c r="T47" s="84"/>
      <c r="U47" s="84"/>
      <c r="V47" s="84"/>
      <c r="W47" s="84"/>
      <c r="X47" s="84"/>
      <c r="Y47" s="84"/>
      <c r="Z47" s="85"/>
      <c r="AA47" s="84"/>
    </row>
    <row r="48" spans="2:28" ht="22.5" customHeight="1" thickBot="1" thickTop="1">
      <c r="B48" s="70" t="s">
        <v>65</v>
      </c>
      <c r="C48" s="144">
        <f aca="true" t="shared" si="13" ref="C48:AA48">C41/C5</f>
        <v>0.014287845717481963</v>
      </c>
      <c r="D48" s="144">
        <f t="shared" si="13"/>
        <v>0.018574664740391798</v>
      </c>
      <c r="E48" s="144">
        <f t="shared" si="13"/>
        <v>0.04956922825255505</v>
      </c>
      <c r="F48" s="145">
        <f t="shared" si="13"/>
        <v>0.08150257273824034</v>
      </c>
      <c r="G48" s="146">
        <f t="shared" si="13"/>
        <v>0.08415445208001525</v>
      </c>
      <c r="H48" s="146">
        <f t="shared" si="13"/>
        <v>0.08557529047511324</v>
      </c>
      <c r="I48" s="147">
        <f t="shared" si="13"/>
        <v>0.08906597741126779</v>
      </c>
      <c r="J48" s="144">
        <f t="shared" si="13"/>
        <v>0.09476647213353222</v>
      </c>
      <c r="K48" s="144">
        <f t="shared" si="13"/>
        <v>0.09777530405742713</v>
      </c>
      <c r="L48" s="144">
        <f t="shared" si="13"/>
        <v>0.10437822000462225</v>
      </c>
      <c r="M48" s="144">
        <f t="shared" si="13"/>
        <v>0.138088829049386</v>
      </c>
      <c r="N48" s="144">
        <f t="shared" si="13"/>
        <v>0.1301282086715121</v>
      </c>
      <c r="O48" s="11">
        <f t="shared" si="1"/>
        <v>94.23514528099382</v>
      </c>
      <c r="P48" s="144">
        <f t="shared" si="13"/>
        <v>0.02683970242612807</v>
      </c>
      <c r="Q48" s="145">
        <f t="shared" si="13"/>
        <v>0.047258005073671595</v>
      </c>
      <c r="R48" s="145">
        <f t="shared" si="13"/>
        <v>0.059954271369294605</v>
      </c>
      <c r="S48" s="145">
        <f t="shared" si="13"/>
        <v>0.07124626570347825</v>
      </c>
      <c r="T48" s="145">
        <f t="shared" si="13"/>
        <v>0.09493139868995634</v>
      </c>
      <c r="U48" s="145">
        <f t="shared" si="13"/>
        <v>0.09688552334801762</v>
      </c>
      <c r="V48" s="145">
        <f t="shared" si="13"/>
        <v>0.0898946798245614</v>
      </c>
      <c r="W48" s="145">
        <f t="shared" si="13"/>
        <v>0.08114035087719298</v>
      </c>
      <c r="X48" s="145">
        <f t="shared" si="13"/>
        <v>0.05684070796460177</v>
      </c>
      <c r="Y48" s="145">
        <f t="shared" si="13"/>
        <v>0.05145725288888889</v>
      </c>
      <c r="Z48" s="145">
        <f t="shared" si="13"/>
        <v>0.05162951728828916</v>
      </c>
      <c r="AA48" s="145">
        <f t="shared" si="13"/>
        <v>0.0008888888888888889</v>
      </c>
      <c r="AB48" s="148">
        <f>AB41/AA5</f>
        <v>0</v>
      </c>
    </row>
    <row r="49" spans="2:28" ht="35.25" customHeight="1" thickBot="1" thickTop="1">
      <c r="B49" s="75" t="s">
        <v>66</v>
      </c>
      <c r="C49" s="76">
        <f aca="true" t="shared" si="14" ref="C49:AB49">C50+C52+C54+C55</f>
        <v>2648590.26</v>
      </c>
      <c r="D49" s="76">
        <f t="shared" si="14"/>
        <v>5918550.45</v>
      </c>
      <c r="E49" s="76">
        <f t="shared" si="14"/>
        <v>10005112.989999998</v>
      </c>
      <c r="F49" s="77">
        <f t="shared" si="14"/>
        <v>14177960.37</v>
      </c>
      <c r="G49" s="13">
        <f t="shared" si="14"/>
        <v>13760760.79</v>
      </c>
      <c r="H49" s="13">
        <f t="shared" si="14"/>
        <v>16363420.56</v>
      </c>
      <c r="I49" s="78">
        <f t="shared" si="14"/>
        <v>15684074.809999999</v>
      </c>
      <c r="J49" s="76">
        <f t="shared" si="14"/>
        <v>14943442.45</v>
      </c>
      <c r="K49" s="76">
        <f t="shared" si="14"/>
        <v>18580651.729999997</v>
      </c>
      <c r="L49" s="76">
        <f t="shared" si="14"/>
        <v>17497342.83</v>
      </c>
      <c r="M49" s="76">
        <f t="shared" si="14"/>
        <v>19235856.529999997</v>
      </c>
      <c r="N49" s="76">
        <f t="shared" si="14"/>
        <v>15745079.68</v>
      </c>
      <c r="O49" s="11">
        <f t="shared" si="1"/>
        <v>81.85276104260902</v>
      </c>
      <c r="P49" s="76">
        <f t="shared" si="14"/>
        <v>18035765.22</v>
      </c>
      <c r="Q49" s="76">
        <f t="shared" si="14"/>
        <v>16255067.659999998</v>
      </c>
      <c r="R49" s="76">
        <f t="shared" si="14"/>
        <v>14726569.719999999</v>
      </c>
      <c r="S49" s="76">
        <f t="shared" si="14"/>
        <v>12890759.639999999</v>
      </c>
      <c r="T49" s="76">
        <f t="shared" si="14"/>
        <v>10500759.639999999</v>
      </c>
      <c r="U49" s="76">
        <f t="shared" si="14"/>
        <v>8150759.639999999</v>
      </c>
      <c r="V49" s="76">
        <f t="shared" si="14"/>
        <v>5900759.639999999</v>
      </c>
      <c r="W49" s="76">
        <f t="shared" si="14"/>
        <v>3900759.6399999987</v>
      </c>
      <c r="X49" s="76">
        <f t="shared" si="14"/>
        <v>2466159.6399999987</v>
      </c>
      <c r="Y49" s="76">
        <f t="shared" si="14"/>
        <v>1238371.4499999988</v>
      </c>
      <c r="Z49" s="77">
        <f t="shared" si="14"/>
        <v>0</v>
      </c>
      <c r="AA49" s="77">
        <f t="shared" si="14"/>
        <v>0</v>
      </c>
      <c r="AB49" s="78">
        <f t="shared" si="14"/>
        <v>0</v>
      </c>
    </row>
    <row r="50" spans="2:27" ht="30" customHeight="1" hidden="1" thickBot="1" thickTop="1">
      <c r="B50" s="31" t="s">
        <v>67</v>
      </c>
      <c r="C50" s="32"/>
      <c r="D50" s="149"/>
      <c r="E50" s="149"/>
      <c r="F50" s="150"/>
      <c r="G50" s="151"/>
      <c r="H50" s="151"/>
      <c r="I50" s="152"/>
      <c r="J50" s="149"/>
      <c r="K50" s="149"/>
      <c r="L50" s="149"/>
      <c r="M50" s="149"/>
      <c r="N50" s="149"/>
      <c r="O50" s="11" t="e">
        <f t="shared" si="1"/>
        <v>#DIV/0!</v>
      </c>
      <c r="P50" s="149"/>
      <c r="Q50" s="76"/>
      <c r="R50" s="84"/>
      <c r="S50" s="84"/>
      <c r="T50" s="84"/>
      <c r="U50" s="84"/>
      <c r="V50" s="84"/>
      <c r="W50" s="84"/>
      <c r="X50" s="84"/>
      <c r="Y50" s="84"/>
      <c r="Z50" s="85"/>
      <c r="AA50" s="84"/>
    </row>
    <row r="51" spans="2:27" ht="53.25" customHeight="1" hidden="1" thickTop="1">
      <c r="B51" s="39" t="s">
        <v>68</v>
      </c>
      <c r="C51" s="40"/>
      <c r="D51" s="153"/>
      <c r="E51" s="153"/>
      <c r="F51" s="154"/>
      <c r="G51" s="151"/>
      <c r="H51" s="151"/>
      <c r="I51" s="155"/>
      <c r="J51" s="153"/>
      <c r="K51" s="153"/>
      <c r="L51" s="153"/>
      <c r="M51" s="153"/>
      <c r="N51" s="153"/>
      <c r="O51" s="11" t="e">
        <f t="shared" si="1"/>
        <v>#DIV/0!</v>
      </c>
      <c r="P51" s="153"/>
      <c r="Q51" s="154"/>
      <c r="R51" s="84"/>
      <c r="S51" s="84"/>
      <c r="T51" s="84"/>
      <c r="U51" s="84"/>
      <c r="V51" s="84"/>
      <c r="W51" s="84"/>
      <c r="X51" s="84"/>
      <c r="Y51" s="84"/>
      <c r="Z51" s="85"/>
      <c r="AA51" s="84"/>
    </row>
    <row r="52" spans="2:29" ht="31.5" customHeight="1" thickBot="1" thickTop="1">
      <c r="B52" s="39" t="s">
        <v>69</v>
      </c>
      <c r="C52" s="40">
        <v>2648414.26</v>
      </c>
      <c r="D52" s="153">
        <v>5918430.45</v>
      </c>
      <c r="E52" s="153">
        <v>9917081.79</v>
      </c>
      <c r="F52" s="154">
        <v>14177960.37</v>
      </c>
      <c r="G52" s="13">
        <f>E52+G20-G30</f>
        <v>13760760.79</v>
      </c>
      <c r="H52" s="151">
        <v>16363420.56</v>
      </c>
      <c r="I52" s="155">
        <f>G52+I20-I30</f>
        <v>15684074.809999999</v>
      </c>
      <c r="J52" s="136">
        <f>G52+J20-J30</f>
        <v>14943442.45</v>
      </c>
      <c r="K52" s="136">
        <f>J52+K20-K30</f>
        <v>18580651.729999997</v>
      </c>
      <c r="L52" s="156">
        <f>J52+L20-L30</f>
        <v>17497342.83</v>
      </c>
      <c r="M52" s="156">
        <f aca="true" t="shared" si="15" ref="M52:AA52">L52+M20-M30</f>
        <v>19235856.529999997</v>
      </c>
      <c r="N52" s="156">
        <f>L52+N20-N30</f>
        <v>15745079.68</v>
      </c>
      <c r="O52" s="11">
        <f t="shared" si="1"/>
        <v>81.85276104260902</v>
      </c>
      <c r="P52" s="156">
        <f>M52+P20-P30</f>
        <v>18035765.22</v>
      </c>
      <c r="Q52" s="156">
        <f t="shared" si="15"/>
        <v>16255067.659999998</v>
      </c>
      <c r="R52" s="156">
        <f t="shared" si="15"/>
        <v>14726569.719999999</v>
      </c>
      <c r="S52" s="156">
        <f t="shared" si="15"/>
        <v>12890759.639999999</v>
      </c>
      <c r="T52" s="156">
        <f t="shared" si="15"/>
        <v>10500759.639999999</v>
      </c>
      <c r="U52" s="156">
        <f t="shared" si="15"/>
        <v>8150759.639999999</v>
      </c>
      <c r="V52" s="156">
        <f t="shared" si="15"/>
        <v>5900759.639999999</v>
      </c>
      <c r="W52" s="156">
        <f t="shared" si="15"/>
        <v>3900759.6399999987</v>
      </c>
      <c r="X52" s="156">
        <f t="shared" si="15"/>
        <v>2466159.6399999987</v>
      </c>
      <c r="Y52" s="156">
        <f t="shared" si="15"/>
        <v>1238371.4499999988</v>
      </c>
      <c r="Z52" s="156">
        <f t="shared" si="15"/>
        <v>0</v>
      </c>
      <c r="AA52" s="156">
        <f t="shared" si="15"/>
        <v>0</v>
      </c>
      <c r="AB52" s="156"/>
      <c r="AC52" s="138"/>
    </row>
    <row r="53" spans="2:29" ht="48.75" customHeight="1" thickBot="1" thickTop="1">
      <c r="B53" s="39" t="s">
        <v>70</v>
      </c>
      <c r="C53" s="40">
        <v>1722790.98</v>
      </c>
      <c r="D53" s="153">
        <v>1288998.75</v>
      </c>
      <c r="E53" s="153">
        <v>1308998.35</v>
      </c>
      <c r="F53" s="154">
        <v>1563748.4</v>
      </c>
      <c r="G53" s="151">
        <v>2361668.35</v>
      </c>
      <c r="H53" s="151">
        <v>3488250.74</v>
      </c>
      <c r="I53" s="155">
        <f>G53+I21+I23-I32-I34</f>
        <v>2611507.83</v>
      </c>
      <c r="J53" s="153">
        <f>G53+J21+J23-J32-J34</f>
        <v>2182996.93</v>
      </c>
      <c r="K53" s="153">
        <v>4149838.88</v>
      </c>
      <c r="L53" s="153">
        <v>3750573.95</v>
      </c>
      <c r="M53" s="153">
        <f aca="true" t="shared" si="16" ref="M53:AA53">L53+M21+M23-M32-M34</f>
        <v>5877614.0200000005</v>
      </c>
      <c r="N53" s="153">
        <f>L53+N21+N23-N32-N34</f>
        <v>2963028.77</v>
      </c>
      <c r="O53" s="11">
        <f t="shared" si="1"/>
        <v>50.412101916144536</v>
      </c>
      <c r="P53" s="153">
        <f>M53+P21+P23-P32-P34</f>
        <v>4776735.45</v>
      </c>
      <c r="Q53" s="153">
        <f t="shared" si="16"/>
        <v>3717770.89</v>
      </c>
      <c r="R53" s="153">
        <f t="shared" si="16"/>
        <v>2977170.89</v>
      </c>
      <c r="S53" s="153">
        <f t="shared" si="16"/>
        <v>2237170.89</v>
      </c>
      <c r="T53" s="153">
        <f t="shared" si="16"/>
        <v>1671099.9200000002</v>
      </c>
      <c r="U53" s="153">
        <f t="shared" si="16"/>
        <v>1270401.3000000003</v>
      </c>
      <c r="V53" s="153">
        <f t="shared" si="16"/>
        <v>870000.0000000002</v>
      </c>
      <c r="W53" s="153">
        <f t="shared" si="16"/>
        <v>570000.0000000002</v>
      </c>
      <c r="X53" s="153">
        <f t="shared" si="16"/>
        <v>300000.00000000023</v>
      </c>
      <c r="Y53" s="153">
        <f t="shared" si="16"/>
        <v>130000.00000000023</v>
      </c>
      <c r="Z53" s="153">
        <f t="shared" si="16"/>
        <v>2.3283064365386963E-10</v>
      </c>
      <c r="AA53" s="153">
        <f t="shared" si="16"/>
        <v>2.3283064365386963E-10</v>
      </c>
      <c r="AB53" s="152"/>
      <c r="AC53" s="129"/>
    </row>
    <row r="54" spans="2:27" ht="18.75" customHeight="1" hidden="1">
      <c r="B54" s="39" t="s">
        <v>71</v>
      </c>
      <c r="C54" s="40"/>
      <c r="D54" s="157"/>
      <c r="E54" s="157"/>
      <c r="F54" s="158"/>
      <c r="G54" s="114"/>
      <c r="H54" s="114"/>
      <c r="I54" s="159"/>
      <c r="J54" s="157"/>
      <c r="K54" s="157"/>
      <c r="L54" s="157"/>
      <c r="M54" s="157"/>
      <c r="N54" s="157"/>
      <c r="O54" s="11" t="e">
        <f t="shared" si="1"/>
        <v>#DIV/0!</v>
      </c>
      <c r="P54" s="157"/>
      <c r="Q54" s="158"/>
      <c r="R54" s="84"/>
      <c r="S54" s="84"/>
      <c r="T54" s="84"/>
      <c r="U54" s="84"/>
      <c r="V54" s="84"/>
      <c r="W54" s="84"/>
      <c r="X54" s="84"/>
      <c r="Y54" s="84"/>
      <c r="Z54" s="85"/>
      <c r="AA54" s="84"/>
    </row>
    <row r="55" spans="2:27" ht="27" customHeight="1" thickBot="1" thickTop="1">
      <c r="B55" s="67" t="s">
        <v>72</v>
      </c>
      <c r="C55" s="48">
        <v>176</v>
      </c>
      <c r="D55" s="160">
        <v>120</v>
      </c>
      <c r="E55" s="160">
        <v>88031.2</v>
      </c>
      <c r="F55" s="161">
        <v>0</v>
      </c>
      <c r="G55" s="114"/>
      <c r="H55" s="114"/>
      <c r="I55" s="162"/>
      <c r="J55" s="160"/>
      <c r="K55" s="163"/>
      <c r="M55" s="160">
        <v>0</v>
      </c>
      <c r="N55" s="160">
        <v>0</v>
      </c>
      <c r="O55" s="11">
        <v>0</v>
      </c>
      <c r="P55" s="160"/>
      <c r="Q55" s="161"/>
      <c r="R55" s="84"/>
      <c r="S55" s="84"/>
      <c r="T55" s="84"/>
      <c r="U55" s="84"/>
      <c r="V55" s="84"/>
      <c r="W55" s="84"/>
      <c r="X55" s="84"/>
      <c r="Y55" s="84"/>
      <c r="Z55" s="85"/>
      <c r="AA55" s="84"/>
    </row>
    <row r="56" spans="2:27" ht="27.75" customHeight="1" thickBot="1">
      <c r="B56" s="110" t="s">
        <v>73</v>
      </c>
      <c r="C56" s="164">
        <f aca="true" t="shared" si="17" ref="C56:AA56">(C49-C51-C53)/C5</f>
        <v>0.04194256815713399</v>
      </c>
      <c r="D56" s="164">
        <f t="shared" si="17"/>
        <v>0.22857740821632963</v>
      </c>
      <c r="E56" s="164">
        <f t="shared" si="17"/>
        <v>0.4371948290487941</v>
      </c>
      <c r="F56" s="165">
        <f t="shared" si="17"/>
        <v>0.5243460694358715</v>
      </c>
      <c r="G56" s="146">
        <f t="shared" si="17"/>
        <v>0.5417962321836371</v>
      </c>
      <c r="H56" s="146">
        <f t="shared" si="17"/>
        <v>0.5586903365589945</v>
      </c>
      <c r="I56" s="166">
        <f t="shared" si="17"/>
        <v>0.5844674584024155</v>
      </c>
      <c r="J56" s="164">
        <f t="shared" si="17"/>
        <v>0.570328751137656</v>
      </c>
      <c r="K56" s="164">
        <f t="shared" si="17"/>
        <v>0.545479387337064</v>
      </c>
      <c r="L56" s="164">
        <f t="shared" si="17"/>
        <v>0.553135689273164</v>
      </c>
      <c r="M56" s="164">
        <f t="shared" si="17"/>
        <v>0.5312743015151394</v>
      </c>
      <c r="N56" s="164">
        <f t="shared" si="17"/>
        <v>0.8632075570353327</v>
      </c>
      <c r="O56" s="11">
        <f t="shared" si="1"/>
        <v>162.47869595302348</v>
      </c>
      <c r="P56" s="164">
        <f t="shared" si="17"/>
        <v>0.46873345866927013</v>
      </c>
      <c r="Q56" s="164">
        <f t="shared" si="17"/>
        <v>0.4722021612301473</v>
      </c>
      <c r="R56" s="164">
        <f t="shared" si="17"/>
        <v>0.4875269224066389</v>
      </c>
      <c r="S56" s="164">
        <f t="shared" si="17"/>
        <v>0.45266212544362</v>
      </c>
      <c r="T56" s="164">
        <f t="shared" si="17"/>
        <v>0.3855746602620087</v>
      </c>
      <c r="U56" s="164">
        <f t="shared" si="17"/>
        <v>0.3030994863436122</v>
      </c>
      <c r="V56" s="164">
        <f t="shared" si="17"/>
        <v>0.2206473526315789</v>
      </c>
      <c r="W56" s="164">
        <f t="shared" si="17"/>
        <v>0.14608594912280695</v>
      </c>
      <c r="X56" s="164">
        <f t="shared" si="17"/>
        <v>0.09584777168141587</v>
      </c>
      <c r="Y56" s="164">
        <f t="shared" si="17"/>
        <v>0.04926095333333327</v>
      </c>
      <c r="Z56" s="165">
        <f t="shared" si="17"/>
        <v>-1.037744304020179E-17</v>
      </c>
      <c r="AA56" s="165">
        <f t="shared" si="17"/>
        <v>-1.0348028606838651E-17</v>
      </c>
    </row>
    <row r="57" spans="2:27" ht="27.75" customHeight="1" thickBot="1">
      <c r="B57" s="110" t="s">
        <v>74</v>
      </c>
      <c r="C57" s="166">
        <f aca="true" t="shared" si="18" ref="C57:AA57">C49/C5*100%</f>
        <v>0.11999218394333948</v>
      </c>
      <c r="D57" s="166">
        <f t="shared" si="18"/>
        <v>0.2922198540862156</v>
      </c>
      <c r="E57" s="166">
        <f t="shared" si="18"/>
        <v>0.5030043696936496</v>
      </c>
      <c r="F57" s="166">
        <f t="shared" si="18"/>
        <v>0.5893477777531793</v>
      </c>
      <c r="G57" s="166">
        <f t="shared" si="18"/>
        <v>0.6540457836661188</v>
      </c>
      <c r="H57" s="166">
        <f t="shared" si="18"/>
        <v>0.7100554841398411</v>
      </c>
      <c r="I57" s="166">
        <f t="shared" si="18"/>
        <v>0.7012265728390285</v>
      </c>
      <c r="J57" s="166">
        <f t="shared" si="18"/>
        <v>0.6678979081763232</v>
      </c>
      <c r="K57" s="166">
        <f t="shared" si="18"/>
        <v>0.7023417618504947</v>
      </c>
      <c r="L57" s="166">
        <f t="shared" si="18"/>
        <v>0.704049429448246</v>
      </c>
      <c r="M57" s="166">
        <f t="shared" si="18"/>
        <v>0.7650344897070733</v>
      </c>
      <c r="N57" s="166">
        <f t="shared" si="18"/>
        <v>1.063309156065586</v>
      </c>
      <c r="O57" s="11">
        <f t="shared" si="1"/>
        <v>138.9883946895937</v>
      </c>
      <c r="P57" s="166">
        <f t="shared" si="18"/>
        <v>0.6376006961267672</v>
      </c>
      <c r="Q57" s="166">
        <f t="shared" si="18"/>
        <v>0.6122275176863564</v>
      </c>
      <c r="R57" s="166">
        <f t="shared" si="18"/>
        <v>0.6110609842323651</v>
      </c>
      <c r="S57" s="166">
        <f t="shared" si="18"/>
        <v>0.547717655914326</v>
      </c>
      <c r="T57" s="166">
        <f t="shared" si="18"/>
        <v>0.45854845589519644</v>
      </c>
      <c r="U57" s="166">
        <f t="shared" si="18"/>
        <v>0.35906430132158584</v>
      </c>
      <c r="V57" s="166">
        <f t="shared" si="18"/>
        <v>0.258805247368421</v>
      </c>
      <c r="W57" s="166">
        <f t="shared" si="18"/>
        <v>0.17108594912280697</v>
      </c>
      <c r="X57" s="166">
        <f t="shared" si="18"/>
        <v>0.10912210796460171</v>
      </c>
      <c r="Y57" s="166">
        <f t="shared" si="18"/>
        <v>0.05503873111111106</v>
      </c>
      <c r="Z57" s="167">
        <f t="shared" si="18"/>
        <v>0</v>
      </c>
      <c r="AA57" s="167">
        <f t="shared" si="18"/>
        <v>0</v>
      </c>
    </row>
    <row r="58" spans="2:27" ht="48" customHeight="1" thickBot="1">
      <c r="B58" s="70" t="s">
        <v>75</v>
      </c>
      <c r="C58" s="168" t="s">
        <v>76</v>
      </c>
      <c r="D58" s="169" t="s">
        <v>76</v>
      </c>
      <c r="E58" s="169" t="s">
        <v>76</v>
      </c>
      <c r="F58" s="170">
        <v>8.16</v>
      </c>
      <c r="G58" s="171">
        <f>(((C6+C11-C15)/C5)+((D6+D11-D15)/D5)+((E6+E11-E15)/E5))*0.33*100</f>
        <v>8.162545157023784</v>
      </c>
      <c r="H58" s="171">
        <f>(((E6+E11-E15)/E5)+((F6+F11-F15)/F5)+((G6+G11-G15)/G5))*0.33*100</f>
        <v>2.3827265911038684</v>
      </c>
      <c r="I58" s="172">
        <f>H58</f>
        <v>2.3827265911038684</v>
      </c>
      <c r="J58" s="173">
        <f>(((E6+E11-E15)/E5)+((F6+F11-F15)/F5)+((G6+G11-G15)/G5))*0.33*100</f>
        <v>2.3827265911038684</v>
      </c>
      <c r="K58" s="173">
        <f>(((F6+F11-F15)/F5)+((G6+G11-G15)/G5)+((H6+H11-H15)/H5))*0.33*100</f>
        <v>1.2039626460793684</v>
      </c>
      <c r="L58" s="173">
        <f>(((J6+J11-J15)/J5)+((G6+G11-G15)/G5)+((H6+H11-H15)/H5))*0.33*100</f>
        <v>1.6890265158054814</v>
      </c>
      <c r="M58" s="173">
        <f>((L6+L11-L15)/L5+(J6+J11-J15)/J5+(G6+G11-G15)/G5)*0.33*100</f>
        <v>3.390566097033582</v>
      </c>
      <c r="N58" s="173"/>
      <c r="O58" s="11">
        <f t="shared" si="1"/>
        <v>0</v>
      </c>
      <c r="P58" s="173">
        <f>((L6+L11-L15)/L5+(M6+M11-M15)/M5+(J6+J11-J15)/J5)*0.33*100</f>
        <v>4.988707339133545</v>
      </c>
      <c r="Q58" s="173">
        <f>((L6+L11-L15)/L5+(M6+M11-M15)/M5+(P6+P11-P15)/P5)*0.33*100</f>
        <v>5.905571870905367</v>
      </c>
      <c r="R58" s="173">
        <f>(((M6+M11-M15)/M5)+((P6+P11-P15)/P5)+((Q6+Q11-Q15)/Q5))*0.33*100</f>
        <v>7.097776630005338</v>
      </c>
      <c r="S58" s="173">
        <f aca="true" t="shared" si="19" ref="S58:AA58">(((P6+P11-P15)/P5)+((Q6+Q11-Q15)/Q5)+((R6+R11-R15)/R5))*0.33*100</f>
        <v>8.78628367864209</v>
      </c>
      <c r="T58" s="173">
        <f t="shared" si="19"/>
        <v>10.002512909967578</v>
      </c>
      <c r="U58" s="173">
        <f t="shared" si="19"/>
        <v>10.976295010639618</v>
      </c>
      <c r="V58" s="173">
        <f t="shared" si="19"/>
        <v>12.813809758562186</v>
      </c>
      <c r="W58" s="173">
        <f t="shared" si="19"/>
        <v>13.850245333241537</v>
      </c>
      <c r="X58" s="173">
        <f t="shared" si="19"/>
        <v>13.770722235103177</v>
      </c>
      <c r="Y58" s="173">
        <f t="shared" si="19"/>
        <v>12.93684024219842</v>
      </c>
      <c r="Z58" s="170">
        <f t="shared" si="19"/>
        <v>11.79075414893526</v>
      </c>
      <c r="AA58" s="170">
        <f t="shared" si="19"/>
        <v>10.45027845345644</v>
      </c>
    </row>
    <row r="59" spans="2:27" ht="26.25" customHeight="1" thickBot="1">
      <c r="B59" s="174" t="s">
        <v>109</v>
      </c>
      <c r="C59" s="175" t="s">
        <v>76</v>
      </c>
      <c r="D59" s="176" t="s">
        <v>76</v>
      </c>
      <c r="E59" s="176" t="s">
        <v>76</v>
      </c>
      <c r="F59" s="177">
        <f aca="true" t="shared" si="20" ref="F59:AA59">F41/F5*100</f>
        <v>8.150257273824034</v>
      </c>
      <c r="G59" s="178">
        <f t="shared" si="20"/>
        <v>8.415445208001525</v>
      </c>
      <c r="H59" s="178">
        <f t="shared" si="20"/>
        <v>8.557529047511323</v>
      </c>
      <c r="I59" s="179">
        <f t="shared" si="20"/>
        <v>8.90659774112678</v>
      </c>
      <c r="J59" s="180">
        <f t="shared" si="20"/>
        <v>9.476647213353221</v>
      </c>
      <c r="K59" s="180">
        <f t="shared" si="20"/>
        <v>9.777530405742713</v>
      </c>
      <c r="L59" s="180">
        <f t="shared" si="20"/>
        <v>10.437822000462225</v>
      </c>
      <c r="M59" s="180">
        <f t="shared" si="20"/>
        <v>13.8088829049386</v>
      </c>
      <c r="N59" s="180">
        <f t="shared" si="20"/>
        <v>13.01282086715121</v>
      </c>
      <c r="O59" s="11">
        <f t="shared" si="1"/>
        <v>94.23514528099382</v>
      </c>
      <c r="P59" s="180">
        <f t="shared" si="20"/>
        <v>2.683970242612807</v>
      </c>
      <c r="Q59" s="180">
        <f t="shared" si="20"/>
        <v>4.725800507367159</v>
      </c>
      <c r="R59" s="180">
        <f t="shared" si="20"/>
        <v>5.995427136929461</v>
      </c>
      <c r="S59" s="180">
        <f t="shared" si="20"/>
        <v>7.124626570347825</v>
      </c>
      <c r="T59" s="180">
        <f t="shared" si="20"/>
        <v>9.493139868995634</v>
      </c>
      <c r="U59" s="180">
        <f t="shared" si="20"/>
        <v>9.688552334801761</v>
      </c>
      <c r="V59" s="180">
        <f t="shared" si="20"/>
        <v>8.989467982456139</v>
      </c>
      <c r="W59" s="180">
        <f t="shared" si="20"/>
        <v>8.114035087719298</v>
      </c>
      <c r="X59" s="180">
        <f t="shared" si="20"/>
        <v>5.684070796460177</v>
      </c>
      <c r="Y59" s="180">
        <f t="shared" si="20"/>
        <v>5.1457252888888885</v>
      </c>
      <c r="Z59" s="177">
        <f t="shared" si="20"/>
        <v>5.162951728828916</v>
      </c>
      <c r="AA59" s="177">
        <f t="shared" si="20"/>
        <v>0.08888888888888889</v>
      </c>
    </row>
    <row r="60" spans="2:28" ht="54" customHeight="1" thickBot="1" thickTop="1">
      <c r="B60" s="181" t="s">
        <v>77</v>
      </c>
      <c r="C60" s="182"/>
      <c r="D60" s="183"/>
      <c r="E60" s="183"/>
      <c r="F60" s="171"/>
      <c r="G60" s="171"/>
      <c r="H60" s="171"/>
      <c r="I60" s="171"/>
      <c r="J60" s="171"/>
      <c r="K60" s="171"/>
      <c r="L60" s="171"/>
      <c r="M60" s="171"/>
      <c r="N60" s="171"/>
      <c r="O60" s="11"/>
      <c r="P60" s="171" t="s">
        <v>78</v>
      </c>
      <c r="Q60" s="171" t="s">
        <v>78</v>
      </c>
      <c r="R60" s="171" t="s">
        <v>78</v>
      </c>
      <c r="S60" s="171" t="s">
        <v>78</v>
      </c>
      <c r="T60" s="171" t="s">
        <v>78</v>
      </c>
      <c r="U60" s="171" t="s">
        <v>78</v>
      </c>
      <c r="V60" s="171" t="s">
        <v>78</v>
      </c>
      <c r="W60" s="171" t="s">
        <v>78</v>
      </c>
      <c r="X60" s="171" t="s">
        <v>78</v>
      </c>
      <c r="Y60" s="171" t="s">
        <v>78</v>
      </c>
      <c r="Z60" s="184" t="s">
        <v>78</v>
      </c>
      <c r="AA60" s="171" t="s">
        <v>78</v>
      </c>
      <c r="AB60" s="185"/>
    </row>
    <row r="61" spans="2:27" ht="36" customHeight="1" thickBot="1" thickTop="1">
      <c r="B61" s="186" t="s">
        <v>79</v>
      </c>
      <c r="C61" s="187">
        <v>-2010164.25</v>
      </c>
      <c r="D61" s="188">
        <v>-5652541.8</v>
      </c>
      <c r="E61" s="188">
        <f>D61+E17</f>
        <v>-9903204.86</v>
      </c>
      <c r="F61" s="189">
        <f>E61+F17</f>
        <v>-14164083.440000001</v>
      </c>
      <c r="G61" s="188">
        <f>E61+G17</f>
        <v>-13632704.23</v>
      </c>
      <c r="H61" s="188">
        <f>F61+H17</f>
        <v>-16766743.21</v>
      </c>
      <c r="I61" s="190">
        <f>G61+I17</f>
        <v>-15556018.25</v>
      </c>
      <c r="J61" s="188">
        <f>G61+J17</f>
        <v>-14706621.120000001</v>
      </c>
      <c r="K61" s="188">
        <f>J61+K17</f>
        <v>-18580651.73</v>
      </c>
      <c r="L61" s="188">
        <f>J61+L17</f>
        <v>-16965700.490000002</v>
      </c>
      <c r="M61" s="188">
        <f aca="true" t="shared" si="21" ref="M61:AA61">L61+M17</f>
        <v>-19235856.040000007</v>
      </c>
      <c r="N61" s="188">
        <f t="shared" si="21"/>
        <v>-16861969.42000001</v>
      </c>
      <c r="O61" s="11">
        <f t="shared" si="1"/>
        <v>87.65905392999606</v>
      </c>
      <c r="P61" s="188">
        <f>M61+P17</f>
        <v>-18035764.730000004</v>
      </c>
      <c r="Q61" s="189">
        <f t="shared" si="21"/>
        <v>-16255067.170000006</v>
      </c>
      <c r="R61" s="189">
        <f t="shared" si="21"/>
        <v>-14726569.230000004</v>
      </c>
      <c r="S61" s="189">
        <f t="shared" si="21"/>
        <v>-12890759.150000006</v>
      </c>
      <c r="T61" s="189">
        <f t="shared" si="21"/>
        <v>-10500759.150000006</v>
      </c>
      <c r="U61" s="189">
        <f t="shared" si="21"/>
        <v>-8150759.150000006</v>
      </c>
      <c r="V61" s="189">
        <f t="shared" si="21"/>
        <v>-5900759.150000006</v>
      </c>
      <c r="W61" s="189">
        <f t="shared" si="21"/>
        <v>-3900759.150000006</v>
      </c>
      <c r="X61" s="189">
        <f t="shared" si="21"/>
        <v>-2466159.150000006</v>
      </c>
      <c r="Y61" s="189">
        <f t="shared" si="21"/>
        <v>-1238370.9600000046</v>
      </c>
      <c r="Z61" s="189">
        <f t="shared" si="21"/>
        <v>0.48999999463558197</v>
      </c>
      <c r="AA61" s="189">
        <f t="shared" si="21"/>
        <v>0.48999999463558197</v>
      </c>
    </row>
    <row r="62" spans="2:27" ht="14.25" thickBot="1" thickTop="1">
      <c r="B62" s="191" t="s">
        <v>80</v>
      </c>
      <c r="C62" s="108">
        <f>C52+C61</f>
        <v>638250.0099999998</v>
      </c>
      <c r="D62" s="108">
        <f>D52+D61</f>
        <v>265888.6500000004</v>
      </c>
      <c r="E62" s="108">
        <f>E52+E61</f>
        <v>13876.929999999702</v>
      </c>
      <c r="F62" s="108">
        <f>F52+F61</f>
        <v>13876.92999999784</v>
      </c>
      <c r="G62" s="27">
        <f>G61+G52</f>
        <v>128056.55999999866</v>
      </c>
      <c r="H62" s="27">
        <v>128056.56</v>
      </c>
      <c r="I62" s="27">
        <f aca="true" t="shared" si="22" ref="I62:AA62">I61+I52</f>
        <v>128056.55999999866</v>
      </c>
      <c r="J62" s="27">
        <f t="shared" si="22"/>
        <v>236821.3299999982</v>
      </c>
      <c r="K62" s="27">
        <f t="shared" si="22"/>
        <v>0</v>
      </c>
      <c r="L62" s="27">
        <f t="shared" si="22"/>
        <v>531642.3399999961</v>
      </c>
      <c r="M62" s="68">
        <f t="shared" si="22"/>
        <v>0.48999999091029167</v>
      </c>
      <c r="N62" s="68">
        <f t="shared" si="22"/>
        <v>-1116889.7400000095</v>
      </c>
      <c r="O62" s="11"/>
      <c r="P62" s="68">
        <f t="shared" si="22"/>
        <v>0.48999999463558197</v>
      </c>
      <c r="Q62" s="68">
        <f t="shared" si="22"/>
        <v>0.4899999927729368</v>
      </c>
      <c r="R62" s="68">
        <f t="shared" si="22"/>
        <v>0.48999999463558197</v>
      </c>
      <c r="S62" s="68">
        <f t="shared" si="22"/>
        <v>0.4899999927729368</v>
      </c>
      <c r="T62" s="68">
        <f t="shared" si="22"/>
        <v>0.4899999927729368</v>
      </c>
      <c r="U62" s="68">
        <f t="shared" si="22"/>
        <v>0.4899999927729368</v>
      </c>
      <c r="V62" s="68">
        <f t="shared" si="22"/>
        <v>0.4899999927729368</v>
      </c>
      <c r="W62" s="68">
        <f t="shared" si="22"/>
        <v>0.4899999927729368</v>
      </c>
      <c r="X62" s="68">
        <f t="shared" si="22"/>
        <v>0.4899999927729368</v>
      </c>
      <c r="Y62" s="68">
        <f t="shared" si="22"/>
        <v>0.4899999941699207</v>
      </c>
      <c r="Z62" s="41">
        <f t="shared" si="22"/>
        <v>0.48999999463558197</v>
      </c>
      <c r="AA62" s="41">
        <f t="shared" si="22"/>
        <v>0.48999999463558197</v>
      </c>
    </row>
    <row r="63" spans="2:27" ht="13.5" thickTop="1">
      <c r="B63" s="191" t="s">
        <v>81</v>
      </c>
      <c r="C63" s="108">
        <f aca="true" t="shared" si="23" ref="C63:AA63">C5+C19</f>
        <v>27055017.43</v>
      </c>
      <c r="D63" s="108">
        <f t="shared" si="23"/>
        <v>25598690.95</v>
      </c>
      <c r="E63" s="108">
        <f t="shared" si="23"/>
        <v>24906406.28</v>
      </c>
      <c r="F63" s="108">
        <f t="shared" si="23"/>
        <v>30223874.29</v>
      </c>
      <c r="G63" s="108">
        <f t="shared" si="23"/>
        <v>26569378.11</v>
      </c>
      <c r="H63" s="108">
        <f t="shared" si="23"/>
        <v>27988321.2</v>
      </c>
      <c r="I63" s="108">
        <f t="shared" si="23"/>
        <v>26630334.45</v>
      </c>
      <c r="J63" s="108">
        <f t="shared" si="23"/>
        <v>25568759.06</v>
      </c>
      <c r="K63" s="108">
        <f t="shared" si="23"/>
        <v>32310989.54</v>
      </c>
      <c r="L63" s="108">
        <f t="shared" si="23"/>
        <v>29510830.489999995</v>
      </c>
      <c r="M63" s="108">
        <f t="shared" si="23"/>
        <v>30569612.83</v>
      </c>
      <c r="N63" s="108">
        <f t="shared" si="23"/>
        <v>15581893.019999998</v>
      </c>
      <c r="O63" s="108"/>
      <c r="P63" s="108">
        <f t="shared" si="23"/>
        <v>28286928.859999992</v>
      </c>
      <c r="Q63" s="108">
        <f t="shared" si="23"/>
        <v>26550698.049999993</v>
      </c>
      <c r="R63" s="108">
        <f t="shared" si="23"/>
        <v>24100000.489999995</v>
      </c>
      <c r="S63" s="108">
        <f t="shared" si="23"/>
        <v>23535410.569999993</v>
      </c>
      <c r="T63" s="108">
        <f t="shared" si="23"/>
        <v>22900000.489999995</v>
      </c>
      <c r="U63" s="108">
        <f t="shared" si="23"/>
        <v>22700000.489999995</v>
      </c>
      <c r="V63" s="108">
        <f t="shared" si="23"/>
        <v>22800000.489999995</v>
      </c>
      <c r="W63" s="108">
        <f t="shared" si="23"/>
        <v>22800000.489999995</v>
      </c>
      <c r="X63" s="108">
        <f t="shared" si="23"/>
        <v>22600000.489999995</v>
      </c>
      <c r="Y63" s="108">
        <f t="shared" si="23"/>
        <v>22500000.489999995</v>
      </c>
      <c r="Z63" s="108">
        <f t="shared" si="23"/>
        <v>22436225.169999994</v>
      </c>
      <c r="AA63" s="108">
        <f t="shared" si="23"/>
        <v>22500000.489999995</v>
      </c>
    </row>
    <row r="64" spans="2:27" ht="12.75">
      <c r="B64" s="191" t="s">
        <v>82</v>
      </c>
      <c r="C64" s="108">
        <f aca="true" t="shared" si="24" ref="C64:AA64">C14+C29</f>
        <v>26416767.42</v>
      </c>
      <c r="D64" s="108">
        <f t="shared" si="24"/>
        <v>24694552.290000003</v>
      </c>
      <c r="E64" s="108">
        <f t="shared" si="24"/>
        <v>24892529.96</v>
      </c>
      <c r="F64" s="108">
        <f t="shared" si="24"/>
        <v>30223874.290000003</v>
      </c>
      <c r="G64" s="108">
        <f t="shared" si="24"/>
        <v>26441321.549999997</v>
      </c>
      <c r="H64" s="108">
        <f t="shared" si="24"/>
        <v>27988321.2</v>
      </c>
      <c r="I64" s="108">
        <f t="shared" si="24"/>
        <v>26630334.45</v>
      </c>
      <c r="J64" s="108">
        <f t="shared" si="24"/>
        <v>25676937.73</v>
      </c>
      <c r="K64" s="108">
        <f t="shared" si="24"/>
        <v>32310989.54</v>
      </c>
      <c r="L64" s="108">
        <f t="shared" si="24"/>
        <v>29093188.15</v>
      </c>
      <c r="M64" s="108">
        <f t="shared" si="24"/>
        <v>30569612.340000004</v>
      </c>
      <c r="N64" s="108">
        <f t="shared" si="24"/>
        <v>14428627.21</v>
      </c>
      <c r="O64" s="108"/>
      <c r="P64" s="108">
        <f t="shared" si="24"/>
        <v>28286928.369999997</v>
      </c>
      <c r="Q64" s="108">
        <f t="shared" si="24"/>
        <v>26550697.56</v>
      </c>
      <c r="R64" s="108">
        <f t="shared" si="24"/>
        <v>24100000</v>
      </c>
      <c r="S64" s="108">
        <f t="shared" si="24"/>
        <v>23535410.08</v>
      </c>
      <c r="T64" s="108">
        <f t="shared" si="24"/>
        <v>22900000</v>
      </c>
      <c r="U64" s="108">
        <f t="shared" si="24"/>
        <v>22700000</v>
      </c>
      <c r="V64" s="108">
        <f t="shared" si="24"/>
        <v>22800000</v>
      </c>
      <c r="W64" s="108">
        <f t="shared" si="24"/>
        <v>22800000</v>
      </c>
      <c r="X64" s="108">
        <f t="shared" si="24"/>
        <v>22600000</v>
      </c>
      <c r="Y64" s="108">
        <f t="shared" si="24"/>
        <v>22500000</v>
      </c>
      <c r="Z64" s="108">
        <f t="shared" si="24"/>
        <v>22436224.68</v>
      </c>
      <c r="AA64" s="108">
        <f t="shared" si="24"/>
        <v>22500000</v>
      </c>
    </row>
    <row r="65" spans="2:27" ht="12.75">
      <c r="B65" s="191" t="s">
        <v>83</v>
      </c>
      <c r="C65" s="108">
        <f aca="true" t="shared" si="25" ref="C65:AA65">C63-C64</f>
        <v>638250.0099999979</v>
      </c>
      <c r="D65" s="108">
        <f t="shared" si="25"/>
        <v>904138.6599999964</v>
      </c>
      <c r="E65" s="108">
        <f t="shared" si="25"/>
        <v>13876.320000000298</v>
      </c>
      <c r="F65" s="108">
        <f t="shared" si="25"/>
        <v>0</v>
      </c>
      <c r="G65" s="108">
        <f t="shared" si="25"/>
        <v>128056.56000000238</v>
      </c>
      <c r="H65" s="108">
        <f t="shared" si="25"/>
        <v>0</v>
      </c>
      <c r="I65" s="108">
        <f t="shared" si="25"/>
        <v>0</v>
      </c>
      <c r="J65" s="108">
        <f t="shared" si="25"/>
        <v>-108178.67000000179</v>
      </c>
      <c r="K65" s="108">
        <f t="shared" si="25"/>
        <v>0</v>
      </c>
      <c r="L65" s="108">
        <f t="shared" si="25"/>
        <v>417642.3399999961</v>
      </c>
      <c r="M65" s="108">
        <f t="shared" si="25"/>
        <v>0.48999999463558197</v>
      </c>
      <c r="N65" s="108">
        <f t="shared" si="25"/>
        <v>1153265.8099999968</v>
      </c>
      <c r="O65" s="108"/>
      <c r="P65" s="108">
        <f t="shared" si="25"/>
        <v>0.48999999463558197</v>
      </c>
      <c r="Q65" s="108">
        <f t="shared" si="25"/>
        <v>0.48999999463558197</v>
      </c>
      <c r="R65" s="108">
        <f t="shared" si="25"/>
        <v>0.48999999463558197</v>
      </c>
      <c r="S65" s="108">
        <f t="shared" si="25"/>
        <v>0.48999999463558197</v>
      </c>
      <c r="T65" s="108">
        <f t="shared" si="25"/>
        <v>0.48999999463558197</v>
      </c>
      <c r="U65" s="108">
        <f t="shared" si="25"/>
        <v>0.48999999463558197</v>
      </c>
      <c r="V65" s="108">
        <f t="shared" si="25"/>
        <v>0.48999999463558197</v>
      </c>
      <c r="W65" s="108">
        <f t="shared" si="25"/>
        <v>0.48999999463558197</v>
      </c>
      <c r="X65" s="108">
        <f t="shared" si="25"/>
        <v>0.48999999463558197</v>
      </c>
      <c r="Y65" s="108">
        <f t="shared" si="25"/>
        <v>0.48999999463558197</v>
      </c>
      <c r="Z65" s="108">
        <f t="shared" si="25"/>
        <v>0.48999999463558197</v>
      </c>
      <c r="AA65" s="108">
        <f t="shared" si="25"/>
        <v>0.48999999463558197</v>
      </c>
    </row>
    <row r="66" spans="2:27" ht="12.75">
      <c r="B66" s="191" t="s">
        <v>84</v>
      </c>
      <c r="C66" s="108">
        <f aca="true" t="shared" si="26" ref="C66:Z66">C41/C5*100</f>
        <v>1.4287845717481964</v>
      </c>
      <c r="D66" s="108">
        <f t="shared" si="26"/>
        <v>1.8574664740391797</v>
      </c>
      <c r="E66" s="108">
        <f t="shared" si="26"/>
        <v>4.956922825255505</v>
      </c>
      <c r="F66" s="108">
        <f t="shared" si="26"/>
        <v>8.150257273824034</v>
      </c>
      <c r="G66" s="128">
        <f t="shared" si="26"/>
        <v>8.415445208001525</v>
      </c>
      <c r="H66" s="128">
        <f t="shared" si="26"/>
        <v>8.557529047511323</v>
      </c>
      <c r="I66" s="108">
        <f t="shared" si="26"/>
        <v>8.90659774112678</v>
      </c>
      <c r="J66" s="108">
        <f t="shared" si="26"/>
        <v>9.476647213353221</v>
      </c>
      <c r="K66" s="108">
        <f t="shared" si="26"/>
        <v>9.777530405742713</v>
      </c>
      <c r="L66" s="108">
        <f t="shared" si="26"/>
        <v>10.437822000462225</v>
      </c>
      <c r="M66" s="108">
        <f t="shared" si="26"/>
        <v>13.8088829049386</v>
      </c>
      <c r="N66" s="108">
        <f t="shared" si="26"/>
        <v>13.01282086715121</v>
      </c>
      <c r="O66" s="108"/>
      <c r="P66" s="108">
        <f t="shared" si="26"/>
        <v>2.683970242612807</v>
      </c>
      <c r="Q66" s="108">
        <f t="shared" si="26"/>
        <v>4.725800507367159</v>
      </c>
      <c r="R66" s="108">
        <f t="shared" si="26"/>
        <v>5.995427136929461</v>
      </c>
      <c r="S66" s="108">
        <f t="shared" si="26"/>
        <v>7.124626570347825</v>
      </c>
      <c r="T66" s="108">
        <f t="shared" si="26"/>
        <v>9.493139868995634</v>
      </c>
      <c r="U66" s="108">
        <f t="shared" si="26"/>
        <v>9.688552334801761</v>
      </c>
      <c r="V66" s="108">
        <f t="shared" si="26"/>
        <v>8.989467982456139</v>
      </c>
      <c r="W66" s="108">
        <f t="shared" si="26"/>
        <v>8.114035087719298</v>
      </c>
      <c r="X66" s="108">
        <f t="shared" si="26"/>
        <v>5.684070796460177</v>
      </c>
      <c r="Y66" s="108">
        <f t="shared" si="26"/>
        <v>5.1457252888888885</v>
      </c>
      <c r="Z66" s="108">
        <f t="shared" si="26"/>
        <v>5.162951728828916</v>
      </c>
      <c r="AA66" s="128"/>
    </row>
    <row r="67" spans="1:27" ht="33.75" hidden="1">
      <c r="A67">
        <v>6357</v>
      </c>
      <c r="B67" s="191" t="s">
        <v>85</v>
      </c>
      <c r="C67" s="192"/>
      <c r="D67" s="192"/>
      <c r="E67" s="192"/>
      <c r="F67" s="193"/>
      <c r="G67" s="194">
        <v>2010</v>
      </c>
      <c r="H67" s="194"/>
      <c r="I67" s="195" t="s">
        <v>86</v>
      </c>
      <c r="J67" s="195">
        <v>2011</v>
      </c>
      <c r="K67" s="195"/>
      <c r="L67" s="195" t="s">
        <v>78</v>
      </c>
      <c r="M67" s="193" t="s">
        <v>78</v>
      </c>
      <c r="N67" s="193"/>
      <c r="O67" s="193"/>
      <c r="P67" s="193" t="s">
        <v>86</v>
      </c>
      <c r="Q67" s="193" t="s">
        <v>86</v>
      </c>
      <c r="R67" s="194"/>
      <c r="S67" s="194"/>
      <c r="T67" s="194"/>
      <c r="U67" s="194"/>
      <c r="V67" s="194"/>
      <c r="W67" s="194"/>
      <c r="X67" s="194"/>
      <c r="Y67" s="194"/>
      <c r="Z67" s="196"/>
      <c r="AA67" s="194"/>
    </row>
    <row r="68" spans="2:27" ht="33.75" hidden="1">
      <c r="B68" s="191" t="s">
        <v>87</v>
      </c>
      <c r="C68" s="192" t="s">
        <v>88</v>
      </c>
      <c r="D68" s="192"/>
      <c r="E68" s="192"/>
      <c r="F68" s="193"/>
      <c r="G68" s="194"/>
      <c r="H68" s="194"/>
      <c r="I68" s="195"/>
      <c r="J68" s="195"/>
      <c r="K68" s="195"/>
      <c r="L68" s="195"/>
      <c r="M68" s="193"/>
      <c r="N68" s="193"/>
      <c r="O68" s="193"/>
      <c r="P68" s="193"/>
      <c r="Q68" s="193"/>
      <c r="R68" s="194"/>
      <c r="S68" s="194"/>
      <c r="T68" s="194"/>
      <c r="U68" s="194"/>
      <c r="V68" s="194"/>
      <c r="W68" s="194"/>
      <c r="X68" s="194"/>
      <c r="Y68" s="194"/>
      <c r="Z68" s="196"/>
      <c r="AA68" s="194"/>
    </row>
    <row r="69" spans="2:27" ht="12.75" hidden="1">
      <c r="B69" s="191" t="s">
        <v>89</v>
      </c>
      <c r="C69" s="192" t="s">
        <v>90</v>
      </c>
      <c r="D69" s="192"/>
      <c r="E69" s="192"/>
      <c r="F69" s="193"/>
      <c r="G69" s="194"/>
      <c r="H69" s="194"/>
      <c r="I69" s="195"/>
      <c r="J69" s="195"/>
      <c r="K69" s="195"/>
      <c r="L69" s="195"/>
      <c r="M69" s="193"/>
      <c r="N69" s="193"/>
      <c r="O69" s="193"/>
      <c r="P69" s="193"/>
      <c r="Q69" s="193"/>
      <c r="R69" s="194"/>
      <c r="S69" s="194"/>
      <c r="T69" s="194"/>
      <c r="U69" s="194"/>
      <c r="V69" s="194"/>
      <c r="W69" s="194"/>
      <c r="X69" s="194"/>
      <c r="Y69" s="194"/>
      <c r="Z69" s="196"/>
      <c r="AA69" s="194"/>
    </row>
    <row r="70" spans="2:27" ht="22.5" hidden="1">
      <c r="B70" s="191" t="s">
        <v>91</v>
      </c>
      <c r="C70" s="192"/>
      <c r="D70" s="192"/>
      <c r="E70" s="192"/>
      <c r="F70" s="192"/>
      <c r="G70" s="84"/>
      <c r="H70" s="84"/>
      <c r="I70" s="192"/>
      <c r="J70" s="192"/>
      <c r="K70" s="192"/>
      <c r="L70" s="192"/>
      <c r="M70" s="192"/>
      <c r="N70" s="192"/>
      <c r="O70" s="192"/>
      <c r="P70" s="192"/>
      <c r="Q70" s="192"/>
      <c r="R70" s="84"/>
      <c r="S70" s="84"/>
      <c r="T70" s="84"/>
      <c r="U70" s="84"/>
      <c r="V70" s="84"/>
      <c r="W70" s="84"/>
      <c r="X70" s="84"/>
      <c r="Y70" s="84"/>
      <c r="Z70" s="85"/>
      <c r="AA70" s="84"/>
    </row>
    <row r="71" spans="2:27" ht="12.75" hidden="1">
      <c r="B71" s="191"/>
      <c r="C71" s="192"/>
      <c r="D71" s="197">
        <v>2008</v>
      </c>
      <c r="E71" s="197">
        <v>2009</v>
      </c>
      <c r="F71" s="197"/>
      <c r="G71" s="198">
        <v>2010</v>
      </c>
      <c r="H71" s="199" t="s">
        <v>92</v>
      </c>
      <c r="I71" s="195"/>
      <c r="J71" s="195" t="s">
        <v>93</v>
      </c>
      <c r="K71" s="195"/>
      <c r="L71" s="195">
        <v>2012</v>
      </c>
      <c r="M71" s="197">
        <v>2013</v>
      </c>
      <c r="N71" s="197"/>
      <c r="O71" s="197"/>
      <c r="P71" s="197">
        <v>2014</v>
      </c>
      <c r="Q71" s="197">
        <v>2015</v>
      </c>
      <c r="R71" s="198">
        <v>2016</v>
      </c>
      <c r="S71" s="198">
        <v>2017</v>
      </c>
      <c r="T71" s="198">
        <v>2018</v>
      </c>
      <c r="U71" s="84"/>
      <c r="V71" s="84"/>
      <c r="W71" s="84"/>
      <c r="X71" s="84"/>
      <c r="Y71" s="84"/>
      <c r="Z71" s="85"/>
      <c r="AA71" s="84"/>
    </row>
    <row r="72" spans="2:27" ht="22.5" hidden="1">
      <c r="B72" s="191" t="s">
        <v>94</v>
      </c>
      <c r="C72" s="200">
        <f aca="true" t="shared" si="27" ref="C72:J72">(C6+C11-C15)/C5*100</f>
        <v>8.823271114035714</v>
      </c>
      <c r="D72" s="200">
        <f t="shared" si="27"/>
        <v>10.002710790646844</v>
      </c>
      <c r="E72" s="200">
        <f t="shared" si="27"/>
        <v>5.909003419631934</v>
      </c>
      <c r="F72" s="200">
        <f t="shared" si="27"/>
        <v>2.521966356849647</v>
      </c>
      <c r="G72" s="200">
        <f t="shared" si="27"/>
        <v>-1.2105861670759195</v>
      </c>
      <c r="H72" s="200">
        <f t="shared" si="27"/>
        <v>2.336991465012237</v>
      </c>
      <c r="I72" s="200">
        <f t="shared" si="27"/>
        <v>3.3777865670622083</v>
      </c>
      <c r="J72" s="200">
        <f t="shared" si="27"/>
        <v>3.9918568711712012</v>
      </c>
      <c r="K72" s="200"/>
      <c r="L72" s="200">
        <f aca="true" t="shared" si="28" ref="L72:V72">(L6+L11-L15)/L5*100</f>
        <v>7.493172014188298</v>
      </c>
      <c r="M72" s="200">
        <f t="shared" si="28"/>
        <v>3.6322660817118493</v>
      </c>
      <c r="N72" s="200"/>
      <c r="O72" s="200"/>
      <c r="P72" s="200">
        <f t="shared" si="28"/>
        <v>6.770234240176719</v>
      </c>
      <c r="Q72" s="200">
        <f t="shared" si="28"/>
        <v>11.105913708430638</v>
      </c>
      <c r="R72" s="200">
        <f t="shared" si="28"/>
        <v>8.748954107883824</v>
      </c>
      <c r="S72" s="200">
        <f t="shared" si="28"/>
        <v>10.455777365405474</v>
      </c>
      <c r="T72" s="200">
        <f t="shared" si="28"/>
        <v>14.056768558951966</v>
      </c>
      <c r="U72" s="200">
        <f t="shared" si="28"/>
        <v>14.317180616740089</v>
      </c>
      <c r="V72" s="200">
        <f t="shared" si="28"/>
        <v>13.596491228070176</v>
      </c>
      <c r="W72" s="200"/>
      <c r="X72" s="200"/>
      <c r="Y72" s="200"/>
      <c r="Z72" s="201">
        <f>(Z6+Z11-Z15)/Z5*100</f>
        <v>9.753741911627172</v>
      </c>
      <c r="AA72" s="202"/>
    </row>
    <row r="73" spans="2:27" ht="21" customHeight="1" hidden="1">
      <c r="B73" s="192"/>
      <c r="C73" s="201"/>
      <c r="D73" s="200"/>
      <c r="E73" s="200"/>
      <c r="F73" s="200"/>
      <c r="G73" s="203"/>
      <c r="H73" s="203"/>
      <c r="I73" s="200"/>
      <c r="J73" s="204">
        <f>G72+E72+D72</f>
        <v>14.701128043202859</v>
      </c>
      <c r="K73" s="204"/>
      <c r="L73" s="204">
        <f>H72+G72+E72</f>
        <v>7.035408717568251</v>
      </c>
      <c r="M73" s="204">
        <f>L72+J72+G72</f>
        <v>10.27444271828358</v>
      </c>
      <c r="N73" s="204"/>
      <c r="O73" s="204"/>
      <c r="P73" s="204">
        <f>M73+L73+J73</f>
        <v>32.01097947905469</v>
      </c>
      <c r="Q73" s="204">
        <f>P73+M73+L73</f>
        <v>49.32083091490652</v>
      </c>
      <c r="R73" s="203">
        <f>Q72+P72+M72</f>
        <v>21.50841403031921</v>
      </c>
      <c r="S73" s="203">
        <f>R72+Q72+P72</f>
        <v>26.62510205649118</v>
      </c>
      <c r="T73" s="203">
        <f>S72+R72+Q72</f>
        <v>30.310645181719938</v>
      </c>
      <c r="U73" s="203">
        <f>T72+S72+R72</f>
        <v>33.261500032241266</v>
      </c>
      <c r="V73" s="203">
        <f>U72+T72+S72</f>
        <v>38.82972654109753</v>
      </c>
      <c r="W73" s="203"/>
      <c r="X73" s="203"/>
      <c r="Y73" s="203"/>
      <c r="Z73" s="205"/>
      <c r="AA73" s="203"/>
    </row>
    <row r="74" spans="2:27" ht="21" customHeight="1" hidden="1">
      <c r="B74" s="192" t="s">
        <v>95</v>
      </c>
      <c r="C74" s="201"/>
      <c r="D74" s="200"/>
      <c r="E74" s="200"/>
      <c r="F74" s="200"/>
      <c r="G74" s="203"/>
      <c r="H74" s="203"/>
      <c r="I74" s="200"/>
      <c r="J74" s="204">
        <f>J73*33%</f>
        <v>4.851372254256944</v>
      </c>
      <c r="K74" s="204"/>
      <c r="L74" s="204">
        <f aca="true" t="shared" si="29" ref="L74:V74">L73*33%</f>
        <v>2.321684876797523</v>
      </c>
      <c r="M74" s="204">
        <f t="shared" si="29"/>
        <v>3.390566097033582</v>
      </c>
      <c r="N74" s="204"/>
      <c r="O74" s="204"/>
      <c r="P74" s="204">
        <f t="shared" si="29"/>
        <v>10.563623228088048</v>
      </c>
      <c r="Q74" s="204">
        <f t="shared" si="29"/>
        <v>16.27587420191915</v>
      </c>
      <c r="R74" s="204">
        <f t="shared" si="29"/>
        <v>7.097776630005339</v>
      </c>
      <c r="S74" s="204">
        <f t="shared" si="29"/>
        <v>8.78628367864209</v>
      </c>
      <c r="T74" s="204">
        <f t="shared" si="29"/>
        <v>10.00251290996758</v>
      </c>
      <c r="U74" s="204">
        <f t="shared" si="29"/>
        <v>10.976295010639618</v>
      </c>
      <c r="V74" s="204">
        <f t="shared" si="29"/>
        <v>12.813809758562185</v>
      </c>
      <c r="W74" s="206"/>
      <c r="X74" s="206"/>
      <c r="Y74" s="206"/>
      <c r="Z74" s="206"/>
      <c r="AA74" s="203"/>
    </row>
    <row r="75" spans="2:27" ht="20.25" customHeight="1" hidden="1">
      <c r="B75" s="192" t="s">
        <v>96</v>
      </c>
      <c r="C75" s="201"/>
      <c r="D75" s="200">
        <f>C72+D72+E72</f>
        <v>24.73498532431449</v>
      </c>
      <c r="E75" s="200"/>
      <c r="F75" s="200">
        <f>F72+E72+D72</f>
        <v>18.433680567128427</v>
      </c>
      <c r="G75" s="203">
        <f>G72+F72+E72</f>
        <v>7.220383609405662</v>
      </c>
      <c r="H75" s="203">
        <f>H72+G72+F72</f>
        <v>3.6483716547859646</v>
      </c>
      <c r="I75" s="200">
        <f>I72+G72+F72</f>
        <v>4.689166756835936</v>
      </c>
      <c r="J75" s="200">
        <f>J72+H72+G72</f>
        <v>5.118262169107519</v>
      </c>
      <c r="K75" s="200"/>
      <c r="L75" s="200">
        <f>H72+G72+F72</f>
        <v>3.6483716547859646</v>
      </c>
      <c r="M75" s="200">
        <f>L72+J72+H72</f>
        <v>13.822020350371737</v>
      </c>
      <c r="N75" s="200"/>
      <c r="O75" s="200"/>
      <c r="P75" s="200">
        <f>M72+L72+J72</f>
        <v>15.117294967071349</v>
      </c>
      <c r="Q75" s="200" t="e">
        <f>P72+#REF!+L72</f>
        <v>#REF!</v>
      </c>
      <c r="R75" s="200" t="e">
        <f>Q72+M72+#REF!</f>
        <v>#REF!</v>
      </c>
      <c r="S75" s="200">
        <f>R72+P72+M72</f>
        <v>19.151454429772393</v>
      </c>
      <c r="T75" s="200">
        <f>S72+Q72+P72</f>
        <v>28.33192531401283</v>
      </c>
      <c r="U75" s="200">
        <f>T72+R72+Q72</f>
        <v>33.911636375266426</v>
      </c>
      <c r="V75" s="200">
        <f>U72+S72+R72</f>
        <v>33.52191209002939</v>
      </c>
      <c r="W75" s="200"/>
      <c r="X75" s="200"/>
      <c r="Y75" s="200"/>
      <c r="Z75" s="200">
        <f>Z72+V72+U72</f>
        <v>37.66741375643744</v>
      </c>
      <c r="AA75" s="203"/>
    </row>
    <row r="76" spans="2:27" ht="21" customHeight="1" hidden="1">
      <c r="B76" s="192" t="s">
        <v>97</v>
      </c>
      <c r="C76" s="201"/>
      <c r="D76" s="200">
        <f>D75*0.33</f>
        <v>8.162545157023782</v>
      </c>
      <c r="E76" s="200"/>
      <c r="F76" s="200">
        <f>F75*0.33</f>
        <v>6.083114587152381</v>
      </c>
      <c r="G76" s="207">
        <f>G75*0.33</f>
        <v>2.3827265911038684</v>
      </c>
      <c r="H76" s="207">
        <f>H75*0.33</f>
        <v>1.2039626460793684</v>
      </c>
      <c r="I76" s="208"/>
      <c r="J76" s="208">
        <f>J75*0.33</f>
        <v>1.6890265158054814</v>
      </c>
      <c r="K76" s="208"/>
      <c r="L76" s="208">
        <f aca="true" t="shared" si="30" ref="L76:V76">L75*0.33</f>
        <v>1.2039626460793684</v>
      </c>
      <c r="M76" s="208">
        <f t="shared" si="30"/>
        <v>4.561266715622674</v>
      </c>
      <c r="N76" s="208"/>
      <c r="O76" s="208"/>
      <c r="P76" s="208">
        <f t="shared" si="30"/>
        <v>4.988707339133545</v>
      </c>
      <c r="Q76" s="208" t="e">
        <f t="shared" si="30"/>
        <v>#REF!</v>
      </c>
      <c r="R76" s="200" t="e">
        <f t="shared" si="30"/>
        <v>#REF!</v>
      </c>
      <c r="S76" s="200">
        <f t="shared" si="30"/>
        <v>6.31997996182489</v>
      </c>
      <c r="T76" s="200">
        <f t="shared" si="30"/>
        <v>9.349535353624235</v>
      </c>
      <c r="U76" s="200">
        <f t="shared" si="30"/>
        <v>11.190840003837922</v>
      </c>
      <c r="V76" s="200">
        <f t="shared" si="30"/>
        <v>11.062230989709699</v>
      </c>
      <c r="W76" s="200"/>
      <c r="X76" s="200"/>
      <c r="Y76" s="200"/>
      <c r="Z76" s="200">
        <f>Z75*0.33</f>
        <v>12.430246539624356</v>
      </c>
      <c r="AA76" s="203"/>
    </row>
    <row r="77" spans="2:27" ht="22.5" customHeight="1" hidden="1">
      <c r="B77" s="192" t="s">
        <v>98</v>
      </c>
      <c r="C77" s="192"/>
      <c r="D77" s="200"/>
      <c r="E77" s="200"/>
      <c r="F77" s="200"/>
      <c r="G77" s="209">
        <f>(G41)/G5*100</f>
        <v>8.415445208001525</v>
      </c>
      <c r="H77" s="209">
        <f>(H41)/H5*100</f>
        <v>8.557529047511323</v>
      </c>
      <c r="I77" s="204"/>
      <c r="J77" s="204">
        <f>(J41)/J5*100</f>
        <v>9.476647213353221</v>
      </c>
      <c r="K77" s="204"/>
      <c r="L77" s="204">
        <f aca="true" t="shared" si="31" ref="L77:U77">(L41)/L5*100</f>
        <v>10.437822000462225</v>
      </c>
      <c r="M77" s="204">
        <f t="shared" si="31"/>
        <v>13.8088829049386</v>
      </c>
      <c r="N77" s="204"/>
      <c r="O77" s="204"/>
      <c r="P77" s="204">
        <f t="shared" si="31"/>
        <v>2.683970242612807</v>
      </c>
      <c r="Q77" s="204">
        <f t="shared" si="31"/>
        <v>4.725800507367159</v>
      </c>
      <c r="R77" s="204">
        <f t="shared" si="31"/>
        <v>5.995427136929461</v>
      </c>
      <c r="S77" s="204">
        <f t="shared" si="31"/>
        <v>7.124626570347825</v>
      </c>
      <c r="T77" s="204">
        <f t="shared" si="31"/>
        <v>9.493139868995634</v>
      </c>
      <c r="U77" s="204">
        <f t="shared" si="31"/>
        <v>9.688552334801761</v>
      </c>
      <c r="V77" s="204">
        <f>(V41)/V5</f>
        <v>0.0898946798245614</v>
      </c>
      <c r="W77" s="204"/>
      <c r="X77" s="204"/>
      <c r="Y77" s="204"/>
      <c r="Z77" s="204">
        <f>(Z41)/Z5</f>
        <v>0.05162951728828916</v>
      </c>
      <c r="AA77" s="209"/>
    </row>
    <row r="78" spans="2:27" ht="12.75" hidden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210"/>
      <c r="X78" s="210"/>
      <c r="Y78" s="210"/>
      <c r="Z78" s="192"/>
      <c r="AA78" s="84"/>
    </row>
    <row r="79" spans="7:27" ht="12.75" hidden="1">
      <c r="G79">
        <v>2011</v>
      </c>
      <c r="I79">
        <v>2012</v>
      </c>
      <c r="L79">
        <v>2013</v>
      </c>
      <c r="M79">
        <v>2014</v>
      </c>
      <c r="P79">
        <v>2015</v>
      </c>
      <c r="Q79">
        <v>2016</v>
      </c>
      <c r="R79">
        <v>2017</v>
      </c>
      <c r="S79">
        <v>2018</v>
      </c>
      <c r="AA79" s="211"/>
    </row>
    <row r="80" spans="6:27" ht="12.75" hidden="1"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>
        <v>30</v>
      </c>
      <c r="T80" s="211"/>
      <c r="AA80" s="211"/>
    </row>
    <row r="81" spans="6:27" ht="12.75" hidden="1">
      <c r="F81" s="211"/>
      <c r="G81" s="211">
        <v>73</v>
      </c>
      <c r="H81" s="211"/>
      <c r="I81" s="211"/>
      <c r="J81" s="211"/>
      <c r="K81" s="211"/>
      <c r="L81" s="211">
        <v>35</v>
      </c>
      <c r="M81" s="211">
        <v>60</v>
      </c>
      <c r="N81" s="211"/>
      <c r="O81" s="211"/>
      <c r="P81" s="211">
        <v>100</v>
      </c>
      <c r="Q81" s="211">
        <v>140</v>
      </c>
      <c r="R81" s="211">
        <v>131</v>
      </c>
      <c r="S81" s="211">
        <f>SUM(G81:R81)</f>
        <v>539</v>
      </c>
      <c r="T81" s="211"/>
      <c r="AA81" s="211"/>
    </row>
    <row r="82" spans="6:27" ht="12.75" hidden="1"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>
        <v>413</v>
      </c>
      <c r="T82" s="211"/>
      <c r="AA82" s="211"/>
    </row>
    <row r="83" spans="6:27" ht="12.75" hidden="1">
      <c r="F83" s="212" t="s">
        <v>99</v>
      </c>
      <c r="G83" s="212">
        <f>SUM(G80:G82)</f>
        <v>73</v>
      </c>
      <c r="H83" s="212"/>
      <c r="I83" s="212"/>
      <c r="J83" s="212"/>
      <c r="K83" s="212"/>
      <c r="L83" s="212">
        <f>SUM(L81:L82)</f>
        <v>35</v>
      </c>
      <c r="M83" s="212">
        <f>SUM(M81:M82)</f>
        <v>60</v>
      </c>
      <c r="N83" s="212"/>
      <c r="O83" s="212"/>
      <c r="P83" s="212">
        <f>SUM(P81:P82)</f>
        <v>100</v>
      </c>
      <c r="Q83" s="212">
        <f>SUM(Q81:Q82)</f>
        <v>140</v>
      </c>
      <c r="R83" s="212">
        <f>SUM(R81:R82)</f>
        <v>131</v>
      </c>
      <c r="S83" s="212">
        <f>SUM(S80:S82)</f>
        <v>982</v>
      </c>
      <c r="T83" s="211"/>
      <c r="AA83" s="211"/>
    </row>
    <row r="84" spans="6:27" ht="12.75" hidden="1">
      <c r="F84" s="211"/>
      <c r="G84" s="211">
        <v>-73</v>
      </c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AA84" s="211"/>
    </row>
    <row r="85" spans="6:27" ht="12.75" hidden="1">
      <c r="F85" s="211" t="s">
        <v>100</v>
      </c>
      <c r="G85" s="211"/>
      <c r="H85" s="211"/>
      <c r="I85" s="211"/>
      <c r="J85" s="211"/>
      <c r="K85" s="211"/>
      <c r="L85" s="211">
        <v>35</v>
      </c>
      <c r="M85" s="211">
        <v>60</v>
      </c>
      <c r="N85" s="211"/>
      <c r="O85" s="211"/>
      <c r="P85" s="211">
        <v>100</v>
      </c>
      <c r="Q85" s="211">
        <v>140</v>
      </c>
      <c r="R85" s="211">
        <v>131</v>
      </c>
      <c r="S85" s="211">
        <f>SUM(G85:R85)</f>
        <v>466</v>
      </c>
      <c r="T85" s="211"/>
      <c r="AA85" s="211"/>
    </row>
    <row r="86" spans="6:27" ht="12.75" hidden="1">
      <c r="F86" s="211" t="s">
        <v>101</v>
      </c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>
        <v>20</v>
      </c>
      <c r="T86" s="211"/>
      <c r="AA86" s="211"/>
    </row>
    <row r="87" spans="6:27" ht="12.75" hidden="1"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>
        <v>-20</v>
      </c>
      <c r="T87" s="211"/>
      <c r="AA87" s="211"/>
    </row>
    <row r="88" spans="6:27" ht="12.75" hidden="1">
      <c r="F88" s="212" t="s">
        <v>102</v>
      </c>
      <c r="G88" s="212">
        <v>0</v>
      </c>
      <c r="H88" s="212"/>
      <c r="I88" s="212">
        <f>SUM(I85:I87)</f>
        <v>0</v>
      </c>
      <c r="J88" s="212"/>
      <c r="K88" s="212"/>
      <c r="L88" s="212">
        <v>35</v>
      </c>
      <c r="M88" s="212">
        <v>60</v>
      </c>
      <c r="N88" s="212"/>
      <c r="O88" s="212"/>
      <c r="P88" s="212">
        <v>100</v>
      </c>
      <c r="Q88" s="212">
        <v>140</v>
      </c>
      <c r="R88" s="212">
        <v>131</v>
      </c>
      <c r="S88" s="212">
        <f>SUM(S85:S87)</f>
        <v>466</v>
      </c>
      <c r="T88" s="211"/>
      <c r="AA88" s="211"/>
    </row>
    <row r="89" spans="6:27" ht="12.75" hidden="1"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1"/>
      <c r="AA89" s="211"/>
    </row>
    <row r="90" spans="6:29" ht="12.75" hidden="1">
      <c r="F90" s="213"/>
      <c r="G90" s="213"/>
      <c r="H90" s="213"/>
      <c r="I90" s="213"/>
      <c r="J90" s="213" t="s">
        <v>103</v>
      </c>
      <c r="K90" s="213"/>
      <c r="L90" s="213">
        <v>2012</v>
      </c>
      <c r="M90" s="213">
        <v>2013</v>
      </c>
      <c r="N90" s="213"/>
      <c r="O90" s="213"/>
      <c r="P90" s="213">
        <v>2014</v>
      </c>
      <c r="Q90" s="213">
        <v>2015</v>
      </c>
      <c r="R90" s="213">
        <v>2016</v>
      </c>
      <c r="S90" s="213">
        <v>2017</v>
      </c>
      <c r="T90" s="213">
        <v>2018</v>
      </c>
      <c r="U90" s="213">
        <v>2019</v>
      </c>
      <c r="V90" s="213">
        <v>2020</v>
      </c>
      <c r="W90" s="213"/>
      <c r="X90" s="213"/>
      <c r="Y90" s="213"/>
      <c r="Z90" s="213">
        <v>2021</v>
      </c>
      <c r="AA90" s="212"/>
      <c r="AB90" s="213">
        <v>2022</v>
      </c>
      <c r="AC90" s="213">
        <v>2023</v>
      </c>
    </row>
    <row r="91" spans="6:27" ht="12.75" hidden="1"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AA91" s="211"/>
    </row>
    <row r="92" spans="2:29" ht="12.75" hidden="1">
      <c r="B92" t="s">
        <v>104</v>
      </c>
      <c r="J92" s="214">
        <v>1703178</v>
      </c>
      <c r="K92" s="214"/>
      <c r="M92" s="214">
        <v>1736174</v>
      </c>
      <c r="N92" s="214"/>
      <c r="O92" s="214"/>
      <c r="P92" s="214">
        <v>2280337</v>
      </c>
      <c r="R92" s="214"/>
      <c r="S92" s="214"/>
      <c r="T92" s="214"/>
      <c r="U92" s="214"/>
      <c r="V92" s="214"/>
      <c r="W92" s="214"/>
      <c r="X92" s="214"/>
      <c r="Y92" s="214"/>
      <c r="Z92" s="214"/>
      <c r="AA92" s="215"/>
      <c r="AB92" s="214"/>
      <c r="AC92" s="214"/>
    </row>
    <row r="93" spans="10:29" ht="12.75" hidden="1">
      <c r="J93" s="214"/>
      <c r="K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5"/>
      <c r="AB93" s="214"/>
      <c r="AC93" s="214"/>
    </row>
    <row r="94" spans="10:29" ht="12.75" hidden="1">
      <c r="J94" s="214">
        <v>533704</v>
      </c>
      <c r="K94" s="214"/>
      <c r="L94" s="214"/>
      <c r="M94" s="214">
        <v>483603</v>
      </c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5"/>
      <c r="AB94" s="214"/>
      <c r="AC94" s="214"/>
    </row>
    <row r="95" spans="10:29" ht="12.75" hidden="1"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5"/>
      <c r="AB95" s="214"/>
      <c r="AC95" s="214"/>
    </row>
    <row r="96" spans="10:29" ht="12.75"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5"/>
      <c r="AB96" s="214"/>
      <c r="AC96" s="214"/>
    </row>
    <row r="97" spans="2:29" ht="12.75">
      <c r="B97" s="213" t="s">
        <v>105</v>
      </c>
      <c r="J97" s="216">
        <v>2011</v>
      </c>
      <c r="K97" s="216" t="s">
        <v>106</v>
      </c>
      <c r="L97" s="217">
        <v>2012</v>
      </c>
      <c r="M97" s="216">
        <v>2013</v>
      </c>
      <c r="N97" s="216"/>
      <c r="O97" s="216"/>
      <c r="P97" s="216">
        <v>2014</v>
      </c>
      <c r="Q97" s="216">
        <v>2015</v>
      </c>
      <c r="R97" s="216">
        <v>2016</v>
      </c>
      <c r="S97" s="216">
        <v>2017</v>
      </c>
      <c r="T97" s="216">
        <v>2018</v>
      </c>
      <c r="U97" s="216">
        <v>2019</v>
      </c>
      <c r="V97" s="216">
        <v>2020</v>
      </c>
      <c r="W97" s="216">
        <v>2021</v>
      </c>
      <c r="X97" s="216">
        <v>2022</v>
      </c>
      <c r="Y97" s="216">
        <v>2023</v>
      </c>
      <c r="Z97" s="216">
        <v>2024</v>
      </c>
      <c r="AA97" s="218"/>
      <c r="AB97" s="214"/>
      <c r="AC97" s="214"/>
    </row>
    <row r="98" spans="2:29" ht="12.75">
      <c r="B98" s="213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5"/>
      <c r="AB98" s="214"/>
      <c r="AC98" s="214"/>
    </row>
    <row r="99" spans="2:29" ht="12.75">
      <c r="B99" s="192" t="s">
        <v>107</v>
      </c>
      <c r="J99" s="109">
        <f aca="true" t="shared" si="32" ref="J99:Z99">(J6+J11-J15)/J5*100</f>
        <v>3.9918568711712012</v>
      </c>
      <c r="K99" s="109">
        <f t="shared" si="32"/>
        <v>3.8004018339570034</v>
      </c>
      <c r="L99" s="109">
        <f t="shared" si="32"/>
        <v>7.493172014188298</v>
      </c>
      <c r="M99" s="109">
        <f t="shared" si="32"/>
        <v>3.6322660817118493</v>
      </c>
      <c r="N99" s="109"/>
      <c r="O99" s="109"/>
      <c r="P99" s="109">
        <f t="shared" si="32"/>
        <v>6.770234240176719</v>
      </c>
      <c r="Q99" s="109">
        <f t="shared" si="32"/>
        <v>11.105913708430638</v>
      </c>
      <c r="R99" s="109">
        <f t="shared" si="32"/>
        <v>8.748954107883824</v>
      </c>
      <c r="S99" s="109">
        <f t="shared" si="32"/>
        <v>10.455777365405474</v>
      </c>
      <c r="T99" s="109">
        <f t="shared" si="32"/>
        <v>14.056768558951966</v>
      </c>
      <c r="U99" s="109">
        <f t="shared" si="32"/>
        <v>14.317180616740089</v>
      </c>
      <c r="V99" s="109">
        <f t="shared" si="32"/>
        <v>13.596491228070176</v>
      </c>
      <c r="W99" s="109">
        <f t="shared" si="32"/>
        <v>13.815789473684212</v>
      </c>
      <c r="X99" s="109">
        <f t="shared" si="32"/>
        <v>11.790265486725664</v>
      </c>
      <c r="Y99" s="109">
        <f t="shared" si="32"/>
        <v>10.123503066666672</v>
      </c>
      <c r="Z99" s="109">
        <f t="shared" si="32"/>
        <v>9.753741911627172</v>
      </c>
      <c r="AA99" s="30"/>
      <c r="AB99" s="109"/>
      <c r="AC99" s="214"/>
    </row>
    <row r="100" spans="2:29" ht="12.75">
      <c r="B100" s="192" t="s">
        <v>108</v>
      </c>
      <c r="J100" s="214"/>
      <c r="K100" s="214"/>
      <c r="L100" s="214"/>
      <c r="M100" s="109"/>
      <c r="N100" s="109"/>
      <c r="O100" s="109"/>
      <c r="P100" s="109">
        <f>(J99+L99+M99)/3</f>
        <v>5.039098322357116</v>
      </c>
      <c r="Q100" s="109">
        <f>(L99+M99+P99)/3</f>
        <v>5.965224112025623</v>
      </c>
      <c r="R100" s="109">
        <f>(M99+P99+Q99)/3</f>
        <v>7.169471343439735</v>
      </c>
      <c r="S100" s="109">
        <f aca="true" t="shared" si="33" ref="S100:Z100">(P99+Q99+R99)/3</f>
        <v>8.875034018830393</v>
      </c>
      <c r="T100" s="109">
        <f t="shared" si="33"/>
        <v>10.103548393906644</v>
      </c>
      <c r="U100" s="109">
        <f t="shared" si="33"/>
        <v>11.087166677413755</v>
      </c>
      <c r="V100" s="109">
        <f t="shared" si="33"/>
        <v>12.943242180365843</v>
      </c>
      <c r="W100" s="109">
        <f t="shared" si="33"/>
        <v>13.990146801254078</v>
      </c>
      <c r="X100" s="109">
        <f t="shared" si="33"/>
        <v>13.90982043949816</v>
      </c>
      <c r="Y100" s="109">
        <f t="shared" si="33"/>
        <v>13.067515396160019</v>
      </c>
      <c r="Z100" s="109">
        <f t="shared" si="33"/>
        <v>11.909852675692184</v>
      </c>
      <c r="AA100" s="30"/>
      <c r="AB100" s="214"/>
      <c r="AC100" s="214"/>
    </row>
    <row r="101" spans="10:29" ht="12.75">
      <c r="J101" s="214"/>
      <c r="K101" s="214"/>
      <c r="L101" s="109">
        <v>198661.3</v>
      </c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</row>
    <row r="102" spans="10:29" ht="12.75"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</row>
    <row r="103" spans="10:29" ht="12.75">
      <c r="J103" s="214"/>
      <c r="K103" s="214"/>
      <c r="L103" s="214"/>
      <c r="M103" s="214"/>
      <c r="N103" s="214"/>
      <c r="O103" s="214"/>
      <c r="P103" s="214">
        <v>381000</v>
      </c>
      <c r="Q103" s="214">
        <v>380000</v>
      </c>
      <c r="R103" s="214">
        <v>482000</v>
      </c>
      <c r="S103" s="214">
        <v>158000</v>
      </c>
      <c r="T103" s="214">
        <v>401200</v>
      </c>
      <c r="U103" s="214"/>
      <c r="V103" s="214"/>
      <c r="W103" s="214"/>
      <c r="X103" s="214"/>
      <c r="Y103" s="214"/>
      <c r="Z103" s="214"/>
      <c r="AA103" s="214"/>
      <c r="AB103" s="214"/>
      <c r="AC103" s="214"/>
    </row>
    <row r="104" spans="10:29" ht="12.75"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</row>
    <row r="105" spans="10:29" ht="12.75"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</row>
    <row r="106" spans="10:29" ht="12.75"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</row>
    <row r="107" spans="10:29" ht="12.75"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</row>
    <row r="108" spans="10:29" ht="12.75"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</row>
    <row r="109" spans="10:29" ht="12.75"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</row>
    <row r="110" spans="10:29" ht="12.75"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</row>
    <row r="111" spans="10:29" ht="12.75"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</row>
    <row r="112" spans="10:29" ht="12.75"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</row>
    <row r="113" spans="10:29" ht="12.75"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</row>
  </sheetData>
  <mergeCells count="4">
    <mergeCell ref="B1:Z1"/>
    <mergeCell ref="B2:U2"/>
    <mergeCell ref="V2:X2"/>
    <mergeCell ref="R3:T3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admin</cp:lastModifiedBy>
  <cp:lastPrinted>2013-09-04T12:43:04Z</cp:lastPrinted>
  <dcterms:created xsi:type="dcterms:W3CDTF">2013-08-29T10:58:31Z</dcterms:created>
  <dcterms:modified xsi:type="dcterms:W3CDTF">2013-09-04T13:13:45Z</dcterms:modified>
  <cp:category/>
  <cp:version/>
  <cp:contentType/>
  <cp:contentStatus/>
</cp:coreProperties>
</file>